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240" windowHeight="11250" tabRatio="88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1" l="1"/>
  <c r="B6" i="10" l="1"/>
  <c r="G10" i="9"/>
  <c r="D10" i="9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D20" i="8"/>
  <c r="G18" i="8"/>
  <c r="D18" i="8"/>
  <c r="G17" i="8"/>
  <c r="D17" i="8"/>
  <c r="G16" i="8"/>
  <c r="D16" i="8"/>
  <c r="G15" i="8"/>
  <c r="D15" i="8"/>
  <c r="G14" i="8"/>
  <c r="D14" i="8"/>
  <c r="G13" i="8"/>
  <c r="D13" i="8"/>
  <c r="G12" i="8"/>
  <c r="D12" i="8"/>
  <c r="G11" i="8"/>
  <c r="D11" i="8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G61" i="6"/>
  <c r="D61" i="6"/>
  <c r="G60" i="6"/>
  <c r="D60" i="6"/>
  <c r="G59" i="6"/>
  <c r="D59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D50" i="6"/>
  <c r="G49" i="6"/>
  <c r="D49" i="6"/>
  <c r="G47" i="6"/>
  <c r="D47" i="6"/>
  <c r="G46" i="6"/>
  <c r="D46" i="6"/>
  <c r="G45" i="6"/>
  <c r="D45" i="6"/>
  <c r="G44" i="6"/>
  <c r="D44" i="6"/>
  <c r="G43" i="6"/>
  <c r="D43" i="6"/>
  <c r="G42" i="6"/>
  <c r="D42" i="6"/>
  <c r="G41" i="6"/>
  <c r="D41" i="6"/>
  <c r="G40" i="6"/>
  <c r="D40" i="6"/>
  <c r="G39" i="6"/>
  <c r="D39" i="6"/>
  <c r="G37" i="6"/>
  <c r="D37" i="6"/>
  <c r="G36" i="6"/>
  <c r="D36" i="6"/>
  <c r="G35" i="6"/>
  <c r="D35" i="6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7" i="6"/>
  <c r="G17" i="6" s="1"/>
  <c r="G16" i="6"/>
  <c r="D16" i="6"/>
  <c r="D15" i="6"/>
  <c r="G15" i="6" s="1"/>
  <c r="G14" i="6"/>
  <c r="D14" i="6"/>
  <c r="D13" i="6"/>
  <c r="G13" i="6" s="1"/>
  <c r="G12" i="6"/>
  <c r="D12" i="6"/>
  <c r="D11" i="6"/>
  <c r="G11" i="6" s="1"/>
  <c r="G36" i="5" l="1"/>
  <c r="D36" i="5"/>
  <c r="G33" i="5"/>
  <c r="D33" i="5"/>
  <c r="G32" i="5"/>
  <c r="D32" i="5"/>
  <c r="G31" i="5"/>
  <c r="D31" i="5"/>
  <c r="G30" i="5"/>
  <c r="D30" i="5"/>
  <c r="G29" i="5"/>
  <c r="D29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C28" i="11" l="1"/>
  <c r="C27" i="11"/>
  <c r="C26" i="11"/>
  <c r="C25" i="11"/>
  <c r="C24" i="11"/>
  <c r="C23" i="11"/>
  <c r="C22" i="11"/>
  <c r="C21" i="11"/>
  <c r="C20" i="11"/>
  <c r="C17" i="11"/>
  <c r="C16" i="11"/>
  <c r="C15" i="11"/>
  <c r="C14" i="11"/>
  <c r="C13" i="11"/>
  <c r="C12" i="11"/>
  <c r="C11" i="11"/>
  <c r="C10" i="11"/>
  <c r="C9" i="11"/>
  <c r="C36" i="10"/>
  <c r="C35" i="10"/>
  <c r="C30" i="10"/>
  <c r="C27" i="10"/>
  <c r="C26" i="10"/>
  <c r="C25" i="10"/>
  <c r="C24" i="10"/>
  <c r="C23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D31" i="9" l="1"/>
  <c r="D30" i="9"/>
  <c r="D29" i="9"/>
  <c r="D26" i="9"/>
  <c r="D25" i="9"/>
  <c r="D23" i="9"/>
  <c r="D22" i="9"/>
  <c r="D19" i="9"/>
  <c r="D18" i="9"/>
  <c r="D17" i="9"/>
  <c r="D15" i="9"/>
  <c r="D14" i="9"/>
  <c r="D13" i="9"/>
  <c r="F12" i="9"/>
  <c r="E12" i="9"/>
  <c r="D12" i="9"/>
  <c r="C12" i="9"/>
  <c r="B12" i="9"/>
  <c r="D11" i="9"/>
  <c r="D75" i="8"/>
  <c r="D74" i="8"/>
  <c r="D73" i="8"/>
  <c r="D72" i="8"/>
  <c r="D70" i="8"/>
  <c r="D69" i="8"/>
  <c r="D68" i="8"/>
  <c r="D67" i="8"/>
  <c r="D66" i="8"/>
  <c r="D65" i="8"/>
  <c r="D64" i="8"/>
  <c r="D63" i="8"/>
  <c r="D62" i="8"/>
  <c r="D60" i="8"/>
  <c r="D59" i="8"/>
  <c r="D58" i="8"/>
  <c r="D57" i="8"/>
  <c r="D56" i="8"/>
  <c r="D55" i="8"/>
  <c r="D54" i="8"/>
  <c r="D52" i="8"/>
  <c r="D51" i="8"/>
  <c r="D50" i="8"/>
  <c r="D49" i="8"/>
  <c r="D48" i="8"/>
  <c r="D47" i="8"/>
  <c r="D46" i="8"/>
  <c r="D45" i="8"/>
  <c r="D41" i="8"/>
  <c r="D40" i="8"/>
  <c r="D39" i="8"/>
  <c r="D38" i="8"/>
  <c r="D36" i="8"/>
  <c r="D35" i="8"/>
  <c r="D34" i="8"/>
  <c r="D33" i="8"/>
  <c r="D32" i="8"/>
  <c r="D31" i="8"/>
  <c r="D30" i="8"/>
  <c r="D29" i="8"/>
  <c r="D28" i="8"/>
  <c r="D27" i="7"/>
  <c r="D26" i="7"/>
  <c r="D25" i="7"/>
  <c r="D24" i="7"/>
  <c r="D23" i="7"/>
  <c r="D22" i="7"/>
  <c r="D21" i="7"/>
  <c r="D20" i="7"/>
  <c r="D157" i="6"/>
  <c r="D156" i="6"/>
  <c r="D155" i="6"/>
  <c r="D154" i="6"/>
  <c r="D153" i="6"/>
  <c r="D152" i="6"/>
  <c r="D151" i="6"/>
  <c r="D149" i="6"/>
  <c r="D148" i="6"/>
  <c r="D147" i="6"/>
  <c r="D145" i="6"/>
  <c r="D144" i="6"/>
  <c r="D143" i="6"/>
  <c r="D142" i="6"/>
  <c r="D141" i="6"/>
  <c r="D140" i="6"/>
  <c r="D139" i="6"/>
  <c r="D138" i="6"/>
  <c r="D136" i="6"/>
  <c r="D135" i="6"/>
  <c r="D134" i="6"/>
  <c r="D132" i="6"/>
  <c r="D131" i="6"/>
  <c r="D130" i="6"/>
  <c r="D129" i="6"/>
  <c r="D128" i="6"/>
  <c r="D127" i="6"/>
  <c r="D126" i="6"/>
  <c r="D125" i="6"/>
  <c r="D124" i="6"/>
  <c r="D122" i="6"/>
  <c r="D121" i="6"/>
  <c r="D120" i="6"/>
  <c r="D119" i="6"/>
  <c r="D118" i="6"/>
  <c r="D117" i="6"/>
  <c r="D116" i="6"/>
  <c r="D115" i="6"/>
  <c r="D114" i="6"/>
  <c r="D112" i="6"/>
  <c r="D111" i="6"/>
  <c r="D110" i="6"/>
  <c r="D109" i="6"/>
  <c r="D108" i="6"/>
  <c r="D107" i="6"/>
  <c r="D106" i="6"/>
  <c r="D105" i="6"/>
  <c r="D104" i="6"/>
  <c r="D102" i="6"/>
  <c r="D101" i="6"/>
  <c r="D100" i="6"/>
  <c r="D99" i="6"/>
  <c r="D98" i="6"/>
  <c r="D97" i="6"/>
  <c r="D96" i="6"/>
  <c r="D95" i="6"/>
  <c r="D94" i="6"/>
  <c r="D92" i="6"/>
  <c r="D91" i="6"/>
  <c r="D90" i="6"/>
  <c r="D89" i="6"/>
  <c r="D88" i="6"/>
  <c r="D87" i="6"/>
  <c r="D86" i="6"/>
  <c r="D82" i="6"/>
  <c r="D81" i="6"/>
  <c r="D80" i="6"/>
  <c r="D79" i="6"/>
  <c r="D78" i="6"/>
  <c r="D77" i="6"/>
  <c r="D76" i="6"/>
  <c r="D74" i="6"/>
  <c r="D73" i="6"/>
  <c r="D72" i="6"/>
  <c r="D70" i="6"/>
  <c r="D69" i="6"/>
  <c r="D68" i="6"/>
  <c r="D67" i="6"/>
  <c r="D66" i="6"/>
  <c r="D65" i="6"/>
  <c r="D64" i="6"/>
  <c r="D63" i="6"/>
  <c r="D74" i="5" l="1"/>
  <c r="D73" i="5"/>
  <c r="D68" i="5"/>
  <c r="D63" i="5"/>
  <c r="D62" i="5"/>
  <c r="D61" i="5"/>
  <c r="D60" i="5"/>
  <c r="D58" i="5"/>
  <c r="D57" i="5"/>
  <c r="D56" i="5"/>
  <c r="D55" i="5"/>
  <c r="D53" i="5"/>
  <c r="D52" i="5"/>
  <c r="D51" i="5"/>
  <c r="D50" i="5"/>
  <c r="D49" i="5"/>
  <c r="D48" i="5"/>
  <c r="D47" i="5"/>
  <c r="D46" i="5"/>
  <c r="D39" i="5"/>
  <c r="D38" i="5"/>
  <c r="D34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D49" i="4" l="1"/>
  <c r="C49" i="4"/>
  <c r="B49" i="4"/>
  <c r="C137" i="6" l="1"/>
  <c r="D137" i="6"/>
  <c r="E137" i="6"/>
  <c r="F137" i="6"/>
  <c r="B137" i="6"/>
  <c r="C62" i="6"/>
  <c r="D62" i="6"/>
  <c r="E62" i="6"/>
  <c r="F62" i="6"/>
  <c r="B62" i="6"/>
  <c r="B8" i="10"/>
  <c r="C6" i="23"/>
  <c r="C7" i="23" s="1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37" i="8" s="1"/>
  <c r="U30" i="26" s="1"/>
  <c r="G10" i="8"/>
  <c r="G19" i="8"/>
  <c r="G28" i="8"/>
  <c r="G29" i="8"/>
  <c r="G30" i="8"/>
  <c r="G31" i="8"/>
  <c r="G32" i="8"/>
  <c r="G33" i="8"/>
  <c r="G34" i="8"/>
  <c r="G35" i="8"/>
  <c r="G36" i="8"/>
  <c r="G27" i="8"/>
  <c r="G21" i="7"/>
  <c r="G22" i="7"/>
  <c r="G23" i="7"/>
  <c r="G24" i="7"/>
  <c r="G25" i="7"/>
  <c r="G26" i="7"/>
  <c r="G27" i="7"/>
  <c r="G20" i="7"/>
  <c r="B10" i="6"/>
  <c r="B18" i="6"/>
  <c r="B28" i="6"/>
  <c r="B38" i="6"/>
  <c r="B48" i="6"/>
  <c r="B58" i="6"/>
  <c r="B71" i="6"/>
  <c r="B75" i="6"/>
  <c r="G152" i="6"/>
  <c r="G153" i="6"/>
  <c r="G154" i="6"/>
  <c r="G155" i="6"/>
  <c r="G156" i="6"/>
  <c r="G157" i="6"/>
  <c r="G151" i="6"/>
  <c r="G148" i="6"/>
  <c r="G149" i="6"/>
  <c r="G147" i="6"/>
  <c r="G139" i="6"/>
  <c r="G140" i="6"/>
  <c r="G141" i="6"/>
  <c r="G142" i="6"/>
  <c r="G143" i="6"/>
  <c r="G144" i="6"/>
  <c r="G145" i="6"/>
  <c r="G138" i="6"/>
  <c r="G137" i="6" s="1"/>
  <c r="U129" i="24" s="1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4" i="6"/>
  <c r="G65" i="6"/>
  <c r="G66" i="6"/>
  <c r="G67" i="6"/>
  <c r="G68" i="6"/>
  <c r="G69" i="6"/>
  <c r="G70" i="6"/>
  <c r="G63" i="6"/>
  <c r="G62" i="6" s="1"/>
  <c r="U55" i="24" s="1"/>
  <c r="B7" i="13"/>
  <c r="G18" i="6"/>
  <c r="U5" i="20"/>
  <c r="U9" i="20"/>
  <c r="G16" i="5"/>
  <c r="G28" i="5"/>
  <c r="G34" i="5"/>
  <c r="G35" i="5"/>
  <c r="U29" i="20" s="1"/>
  <c r="G38" i="5"/>
  <c r="G37" i="5" s="1"/>
  <c r="U31" i="20" s="1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T2" i="31" s="1"/>
  <c r="G7" i="13"/>
  <c r="U2" i="31" s="1"/>
  <c r="Q2" i="31"/>
  <c r="R2" i="31"/>
  <c r="S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 s="1"/>
  <c r="G28" i="12"/>
  <c r="U21" i="30" s="1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 s="1"/>
  <c r="G36" i="12"/>
  <c r="U27" i="30"/>
  <c r="Q2" i="30"/>
  <c r="R2" i="30"/>
  <c r="S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C30" i="11" s="1"/>
  <c r="Q22" i="29" s="1"/>
  <c r="D8" i="11"/>
  <c r="D30" i="11"/>
  <c r="R22" i="29"/>
  <c r="E8" i="11"/>
  <c r="E30" i="11"/>
  <c r="S22" i="29"/>
  <c r="F8" i="11"/>
  <c r="F30" i="11"/>
  <c r="T22" i="29"/>
  <c r="G8" i="11"/>
  <c r="G30" i="11"/>
  <c r="U22" i="29"/>
  <c r="R2" i="29"/>
  <c r="S2" i="29"/>
  <c r="T2" i="29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6" i="9"/>
  <c r="C9" i="9"/>
  <c r="Q2" i="27" s="1"/>
  <c r="D16" i="9"/>
  <c r="D9" i="9"/>
  <c r="R2" i="27" s="1"/>
  <c r="E16" i="9"/>
  <c r="E9" i="9"/>
  <c r="S2" i="27" s="1"/>
  <c r="F16" i="9"/>
  <c r="F9" i="9"/>
  <c r="T2" i="27" s="1"/>
  <c r="G12" i="9"/>
  <c r="G16" i="9"/>
  <c r="U9" i="27" s="1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 s="1"/>
  <c r="D24" i="9"/>
  <c r="D28" i="9"/>
  <c r="D21" i="9"/>
  <c r="R13" i="27" s="1"/>
  <c r="E24" i="9"/>
  <c r="S16" i="27" s="1"/>
  <c r="E28" i="9"/>
  <c r="F24" i="9"/>
  <c r="F28" i="9"/>
  <c r="G24" i="9"/>
  <c r="G28" i="9"/>
  <c r="G21" i="9"/>
  <c r="U13" i="27" s="1"/>
  <c r="Q14" i="27"/>
  <c r="R14" i="27"/>
  <c r="S14" i="27"/>
  <c r="T14" i="27"/>
  <c r="U14" i="27"/>
  <c r="Q15" i="27"/>
  <c r="R15" i="27"/>
  <c r="S15" i="27"/>
  <c r="T15" i="27"/>
  <c r="U15" i="27"/>
  <c r="Q16" i="27"/>
  <c r="R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D33" i="9"/>
  <c r="R24" i="27" s="1"/>
  <c r="P3" i="27"/>
  <c r="P4" i="27"/>
  <c r="P5" i="27"/>
  <c r="P6" i="27"/>
  <c r="P7" i="27"/>
  <c r="P8" i="27"/>
  <c r="B16" i="9"/>
  <c r="P9" i="27" s="1"/>
  <c r="P10" i="27"/>
  <c r="P11" i="27"/>
  <c r="P12" i="27"/>
  <c r="B24" i="9"/>
  <c r="B28" i="9"/>
  <c r="B21" i="9" s="1"/>
  <c r="P13" i="27" s="1"/>
  <c r="P14" i="27"/>
  <c r="P15" i="27"/>
  <c r="P16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C37" i="8"/>
  <c r="C9" i="8"/>
  <c r="Q2" i="26" s="1"/>
  <c r="D10" i="8"/>
  <c r="D19" i="8"/>
  <c r="D27" i="8"/>
  <c r="D37" i="8"/>
  <c r="D9" i="8" s="1"/>
  <c r="E10" i="8"/>
  <c r="E19" i="8"/>
  <c r="E27" i="8"/>
  <c r="E9" i="8" s="1"/>
  <c r="E37" i="8"/>
  <c r="F10" i="8"/>
  <c r="F19" i="8"/>
  <c r="F27" i="8"/>
  <c r="F9" i="8" s="1"/>
  <c r="F37" i="8"/>
  <c r="R3" i="26"/>
  <c r="S3" i="26"/>
  <c r="T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S30" i="26"/>
  <c r="T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 s="1"/>
  <c r="D44" i="8"/>
  <c r="D53" i="8"/>
  <c r="D61" i="8"/>
  <c r="D71" i="8"/>
  <c r="R63" i="26" s="1"/>
  <c r="D43" i="8"/>
  <c r="R35" i="26" s="1"/>
  <c r="E44" i="8"/>
  <c r="S36" i="26" s="1"/>
  <c r="E53" i="8"/>
  <c r="E61" i="8"/>
  <c r="E71" i="8"/>
  <c r="F44" i="8"/>
  <c r="F53" i="8"/>
  <c r="F61" i="8"/>
  <c r="F71" i="8"/>
  <c r="T63" i="26" s="1"/>
  <c r="G44" i="8"/>
  <c r="U36" i="26" s="1"/>
  <c r="G53" i="8"/>
  <c r="G61" i="8"/>
  <c r="Q36" i="26"/>
  <c r="R36" i="26"/>
  <c r="T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S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B61" i="8"/>
  <c r="B71" i="8"/>
  <c r="B43" i="8"/>
  <c r="P35" i="26" s="1"/>
  <c r="B10" i="8"/>
  <c r="P3" i="26" s="1"/>
  <c r="B19" i="8"/>
  <c r="P12" i="26" s="1"/>
  <c r="B27" i="8"/>
  <c r="B37" i="8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F9" i="7"/>
  <c r="F19" i="7"/>
  <c r="T3" i="25" s="1"/>
  <c r="E9" i="7"/>
  <c r="E19" i="7"/>
  <c r="S3" i="25" s="1"/>
  <c r="D9" i="7"/>
  <c r="D19" i="7"/>
  <c r="R3" i="25" s="1"/>
  <c r="C9" i="7"/>
  <c r="C19" i="7"/>
  <c r="Q3" i="25" s="1"/>
  <c r="B9" i="7"/>
  <c r="B29" i="7" s="1"/>
  <c r="P4" i="25" s="1"/>
  <c r="B19" i="7"/>
  <c r="U3" i="25"/>
  <c r="P3" i="25"/>
  <c r="S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 s="1"/>
  <c r="D85" i="6"/>
  <c r="D93" i="6"/>
  <c r="D103" i="6"/>
  <c r="D113" i="6"/>
  <c r="D123" i="6"/>
  <c r="D133" i="6"/>
  <c r="R125" i="24" s="1"/>
  <c r="D146" i="6"/>
  <c r="D150" i="6"/>
  <c r="R142" i="24" s="1"/>
  <c r="E85" i="6"/>
  <c r="E93" i="6"/>
  <c r="E103" i="6"/>
  <c r="E113" i="6"/>
  <c r="E123" i="6"/>
  <c r="E133" i="6"/>
  <c r="E146" i="6"/>
  <c r="E150" i="6"/>
  <c r="F85" i="6"/>
  <c r="T77" i="24" s="1"/>
  <c r="F93" i="6"/>
  <c r="F103" i="6"/>
  <c r="F113" i="6"/>
  <c r="T105" i="24" s="1"/>
  <c r="F123" i="6"/>
  <c r="F133" i="6"/>
  <c r="F146" i="6"/>
  <c r="F150" i="6"/>
  <c r="T142" i="24" s="1"/>
  <c r="G85" i="6"/>
  <c r="G93" i="6"/>
  <c r="G103" i="6"/>
  <c r="G113" i="6"/>
  <c r="U105" i="24" s="1"/>
  <c r="G123" i="6"/>
  <c r="G133" i="6"/>
  <c r="U125" i="24" s="1"/>
  <c r="G146" i="6"/>
  <c r="G150" i="6"/>
  <c r="U142" i="24" s="1"/>
  <c r="Q77" i="24"/>
  <c r="R77" i="24"/>
  <c r="S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S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S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 s="1"/>
  <c r="Q150" i="24" s="1"/>
  <c r="D10" i="6"/>
  <c r="R3" i="24" s="1"/>
  <c r="D18" i="6"/>
  <c r="D28" i="6"/>
  <c r="D38" i="6"/>
  <c r="D48" i="6"/>
  <c r="D58" i="6"/>
  <c r="D71" i="6"/>
  <c r="D75" i="6"/>
  <c r="R68" i="24" s="1"/>
  <c r="E10" i="6"/>
  <c r="E18" i="6"/>
  <c r="E28" i="6"/>
  <c r="E38" i="6"/>
  <c r="S31" i="24" s="1"/>
  <c r="E48" i="6"/>
  <c r="E58" i="6"/>
  <c r="E71" i="6"/>
  <c r="E75" i="6"/>
  <c r="F10" i="6"/>
  <c r="F18" i="6"/>
  <c r="F28" i="6"/>
  <c r="F38" i="6"/>
  <c r="T31" i="24" s="1"/>
  <c r="F48" i="6"/>
  <c r="F58" i="6"/>
  <c r="F71" i="6"/>
  <c r="F75" i="6"/>
  <c r="T68" i="24" s="1"/>
  <c r="G28" i="6"/>
  <c r="G38" i="6"/>
  <c r="G48" i="6"/>
  <c r="G58" i="6"/>
  <c r="U51" i="24" s="1"/>
  <c r="G71" i="6"/>
  <c r="G75" i="6"/>
  <c r="B85" i="6"/>
  <c r="P77" i="24" s="1"/>
  <c r="B93" i="6"/>
  <c r="B103" i="6"/>
  <c r="B113" i="6"/>
  <c r="B123" i="6"/>
  <c r="P115" i="24" s="1"/>
  <c r="B133" i="6"/>
  <c r="P125" i="24" s="1"/>
  <c r="B146" i="6"/>
  <c r="B150" i="6"/>
  <c r="P142" i="24" s="1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S3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S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6" i="20"/>
  <c r="U7" i="20"/>
  <c r="U8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30" i="20"/>
  <c r="U32" i="20"/>
  <c r="U33" i="20"/>
  <c r="G46" i="5"/>
  <c r="G47" i="5"/>
  <c r="G48" i="5"/>
  <c r="G49" i="5"/>
  <c r="G50" i="5"/>
  <c r="G51" i="5"/>
  <c r="G52" i="5"/>
  <c r="G53" i="5"/>
  <c r="G45" i="5"/>
  <c r="U37" i="20" s="1"/>
  <c r="U38" i="20"/>
  <c r="U39" i="20"/>
  <c r="U40" i="20"/>
  <c r="U41" i="20"/>
  <c r="U42" i="20"/>
  <c r="U43" i="20"/>
  <c r="U44" i="20"/>
  <c r="U45" i="20"/>
  <c r="G55" i="5"/>
  <c r="G56" i="5"/>
  <c r="G57" i="5"/>
  <c r="G58" i="5"/>
  <c r="G54" i="5"/>
  <c r="U46" i="20" s="1"/>
  <c r="U47" i="20"/>
  <c r="U48" i="20"/>
  <c r="U49" i="20"/>
  <c r="U50" i="20"/>
  <c r="G60" i="5"/>
  <c r="G59" i="5" s="1"/>
  <c r="G61" i="5"/>
  <c r="U52" i="20"/>
  <c r="U53" i="20"/>
  <c r="G62" i="5"/>
  <c r="U54" i="20" s="1"/>
  <c r="G63" i="5"/>
  <c r="U55" i="20" s="1"/>
  <c r="G68" i="5"/>
  <c r="U58" i="20" s="1"/>
  <c r="G73" i="5"/>
  <c r="U60" i="20" s="1"/>
  <c r="G74" i="5"/>
  <c r="U61" i="20" s="1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 s="1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F41" i="5"/>
  <c r="T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F65" i="5"/>
  <c r="T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/>
  <c r="E75" i="5"/>
  <c r="S62" i="20" s="1"/>
  <c r="F75" i="5"/>
  <c r="T62" i="20"/>
  <c r="P61" i="20"/>
  <c r="B75" i="5"/>
  <c r="P62" i="20" s="1"/>
  <c r="P60" i="20"/>
  <c r="P58" i="20"/>
  <c r="B67" i="5"/>
  <c r="P57" i="20" s="1"/>
  <c r="B45" i="5"/>
  <c r="B54" i="5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37" i="20"/>
  <c r="B16" i="5"/>
  <c r="P10" i="20" s="1"/>
  <c r="B28" i="5"/>
  <c r="B35" i="5"/>
  <c r="P29" i="20" s="1"/>
  <c r="B37" i="5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F18" i="23"/>
  <c r="K6" i="3" s="1"/>
  <c r="E18" i="23"/>
  <c r="J6" i="3" s="1"/>
  <c r="D18" i="23"/>
  <c r="I6" i="3" s="1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6" i="10"/>
  <c r="E6" i="10"/>
  <c r="C6" i="10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H14" i="3"/>
  <c r="V4" i="17" s="1"/>
  <c r="G14" i="3"/>
  <c r="U4" i="17" s="1"/>
  <c r="E14" i="3"/>
  <c r="K8" i="3"/>
  <c r="J8" i="3"/>
  <c r="H8" i="3"/>
  <c r="H20" i="3" s="1"/>
  <c r="V5" i="17" s="1"/>
  <c r="G8" i="3"/>
  <c r="E8" i="3"/>
  <c r="F41" i="2"/>
  <c r="E41" i="2"/>
  <c r="S17" i="16" s="1"/>
  <c r="D41" i="2"/>
  <c r="R17" i="16" s="1"/>
  <c r="C41" i="2"/>
  <c r="Q17" i="16" s="1"/>
  <c r="H27" i="2"/>
  <c r="G27" i="2"/>
  <c r="U15" i="16" s="1"/>
  <c r="F27" i="2"/>
  <c r="E27" i="2"/>
  <c r="S15" i="16" s="1"/>
  <c r="D27" i="2"/>
  <c r="R15" i="16" s="1"/>
  <c r="C27" i="2"/>
  <c r="Q15" i="16" s="1"/>
  <c r="B41" i="2"/>
  <c r="B27" i="2"/>
  <c r="P15" i="16" s="1"/>
  <c r="H22" i="2"/>
  <c r="G22" i="2"/>
  <c r="U14" i="16" s="1"/>
  <c r="F22" i="2"/>
  <c r="E22" i="2"/>
  <c r="S14" i="16" s="1"/>
  <c r="D22" i="2"/>
  <c r="R14" i="16" s="1"/>
  <c r="C22" i="2"/>
  <c r="B22" i="2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4" i="4"/>
  <c r="B63" i="4"/>
  <c r="P32" i="18" s="1"/>
  <c r="B55" i="4"/>
  <c r="B53" i="4"/>
  <c r="B48" i="4"/>
  <c r="B37" i="4"/>
  <c r="B8" i="4"/>
  <c r="B29" i="4"/>
  <c r="B17" i="4"/>
  <c r="B13" i="4"/>
  <c r="B21" i="4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0" i="18"/>
  <c r="P27" i="18"/>
  <c r="P28" i="18"/>
  <c r="P29" i="18"/>
  <c r="P26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F23" i="1"/>
  <c r="Q71" i="15" s="1"/>
  <c r="F27" i="1"/>
  <c r="F31" i="1"/>
  <c r="F38" i="1"/>
  <c r="Q87" i="15" s="1"/>
  <c r="F42" i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F79" i="1"/>
  <c r="Q119" i="15" s="1"/>
  <c r="E9" i="1"/>
  <c r="E19" i="1"/>
  <c r="E23" i="1"/>
  <c r="E27" i="1"/>
  <c r="E31" i="1"/>
  <c r="E38" i="1"/>
  <c r="E42" i="1"/>
  <c r="P91" i="15" s="1"/>
  <c r="E57" i="1"/>
  <c r="E63" i="1"/>
  <c r="E68" i="1"/>
  <c r="E75" i="1"/>
  <c r="P116" i="15" s="1"/>
  <c r="P117" i="15"/>
  <c r="P118" i="15"/>
  <c r="P111" i="15"/>
  <c r="P112" i="15"/>
  <c r="P113" i="15"/>
  <c r="P114" i="15"/>
  <c r="P115" i="15"/>
  <c r="P110" i="15"/>
  <c r="P107" i="15"/>
  <c r="P108" i="15"/>
  <c r="P109" i="15"/>
  <c r="P103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Q12" i="15" s="1"/>
  <c r="C25" i="1"/>
  <c r="Q20" i="15" s="1"/>
  <c r="C31" i="1"/>
  <c r="Q26" i="15" s="1"/>
  <c r="C38" i="1"/>
  <c r="C41" i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D70" i="5"/>
  <c r="Y4" i="17"/>
  <c r="Y3" i="17"/>
  <c r="C70" i="4"/>
  <c r="D70" i="4"/>
  <c r="C64" i="4"/>
  <c r="D64" i="4"/>
  <c r="C63" i="4"/>
  <c r="D63" i="4"/>
  <c r="C48" i="4"/>
  <c r="C55" i="4"/>
  <c r="D55" i="4"/>
  <c r="C53" i="4"/>
  <c r="D53" i="4"/>
  <c r="R30" i="18" s="1"/>
  <c r="D48" i="4"/>
  <c r="C29" i="4"/>
  <c r="D29" i="4"/>
  <c r="C40" i="4"/>
  <c r="D40" i="4"/>
  <c r="R22" i="18" s="1"/>
  <c r="C37" i="4"/>
  <c r="D37" i="4"/>
  <c r="C17" i="4"/>
  <c r="C13" i="4"/>
  <c r="Q6" i="18" s="1"/>
  <c r="D13" i="4"/>
  <c r="W4" i="17"/>
  <c r="W3" i="17"/>
  <c r="X3" i="17"/>
  <c r="S4" i="17"/>
  <c r="T17" i="16"/>
  <c r="P17" i="16"/>
  <c r="T15" i="16"/>
  <c r="V15" i="16"/>
  <c r="Q14" i="16"/>
  <c r="V14" i="16"/>
  <c r="P14" i="16"/>
  <c r="C13" i="2"/>
  <c r="Q8" i="16" s="1"/>
  <c r="D13" i="2"/>
  <c r="R8" i="16" s="1"/>
  <c r="E13" i="2"/>
  <c r="S8" i="16" s="1"/>
  <c r="F13" i="2"/>
  <c r="T8" i="16" s="1"/>
  <c r="G13" i="2"/>
  <c r="H13" i="2"/>
  <c r="V8" i="16"/>
  <c r="B13" i="2"/>
  <c r="P8" i="16"/>
  <c r="C9" i="2"/>
  <c r="Q4" i="16" s="1"/>
  <c r="D9" i="2"/>
  <c r="R4" i="16" s="1"/>
  <c r="E9" i="2"/>
  <c r="E8" i="2" s="1"/>
  <c r="F9" i="2"/>
  <c r="T4" i="16" s="1"/>
  <c r="G9" i="2"/>
  <c r="U4" i="16" s="1"/>
  <c r="H9" i="2"/>
  <c r="V4" i="16" s="1"/>
  <c r="B9" i="2"/>
  <c r="P4" i="16" s="1"/>
  <c r="P4" i="15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8" i="18" s="1"/>
  <c r="R33" i="18"/>
  <c r="R37" i="18"/>
  <c r="R6" i="18"/>
  <c r="Q19" i="18"/>
  <c r="Q15" i="18"/>
  <c r="Q26" i="18"/>
  <c r="Q33" i="18"/>
  <c r="Q37" i="18"/>
  <c r="S3" i="17"/>
  <c r="G8" i="2"/>
  <c r="G20" i="2" s="1"/>
  <c r="U13" i="16" s="1"/>
  <c r="U8" i="16"/>
  <c r="T14" i="16"/>
  <c r="D44" i="4"/>
  <c r="R25" i="18" s="1"/>
  <c r="D57" i="4"/>
  <c r="D59" i="4" s="1"/>
  <c r="D8" i="2"/>
  <c r="R3" i="16" s="1"/>
  <c r="C44" i="4"/>
  <c r="Q25" i="18" s="1"/>
  <c r="C72" i="4"/>
  <c r="C74" i="4" s="1"/>
  <c r="Q39" i="18" s="1"/>
  <c r="C57" i="4"/>
  <c r="C59" i="4" s="1"/>
  <c r="H8" i="2"/>
  <c r="H20" i="2" s="1"/>
  <c r="V13" i="16" s="1"/>
  <c r="F8" i="2"/>
  <c r="F20" i="2" s="1"/>
  <c r="T13" i="16" s="1"/>
  <c r="C8" i="2"/>
  <c r="C20" i="2" s="1"/>
  <c r="Q13" i="16" s="1"/>
  <c r="V3" i="16"/>
  <c r="U3" i="16"/>
  <c r="C8" i="4"/>
  <c r="C21" i="4" s="1"/>
  <c r="Q5" i="18"/>
  <c r="D8" i="4"/>
  <c r="R2" i="18" s="1"/>
  <c r="R5" i="18"/>
  <c r="Q2" i="18"/>
  <c r="F47" i="1"/>
  <c r="F59" i="1" s="1"/>
  <c r="Q67" i="15"/>
  <c r="U3" i="17"/>
  <c r="P2" i="25"/>
  <c r="T2" i="25"/>
  <c r="Q2" i="25"/>
  <c r="U2" i="25"/>
  <c r="F29" i="13" l="1"/>
  <c r="T22" i="31" s="1"/>
  <c r="P2" i="29"/>
  <c r="B32" i="10"/>
  <c r="B9" i="8"/>
  <c r="P2" i="26" s="1"/>
  <c r="Q2" i="24"/>
  <c r="B41" i="5"/>
  <c r="P34" i="20" s="1"/>
  <c r="D21" i="4"/>
  <c r="D23" i="4" s="1"/>
  <c r="D25" i="4" s="1"/>
  <c r="B57" i="4"/>
  <c r="B59" i="4" s="1"/>
  <c r="C47" i="1"/>
  <c r="B47" i="1"/>
  <c r="P42" i="15" s="1"/>
  <c r="D29" i="7"/>
  <c r="R4" i="25" s="1"/>
  <c r="J20" i="3"/>
  <c r="X5" i="17" s="1"/>
  <c r="V3" i="17"/>
  <c r="A2" i="14"/>
  <c r="G29" i="13"/>
  <c r="U22" i="31" s="1"/>
  <c r="G31" i="12"/>
  <c r="U23" i="30" s="1"/>
  <c r="F31" i="12"/>
  <c r="T23" i="30" s="1"/>
  <c r="Q2" i="29"/>
  <c r="C32" i="10"/>
  <c r="Q23" i="28" s="1"/>
  <c r="P23" i="28"/>
  <c r="P2" i="28"/>
  <c r="F21" i="9"/>
  <c r="T13" i="27" s="1"/>
  <c r="T16" i="27"/>
  <c r="E21" i="9"/>
  <c r="S13" i="27" s="1"/>
  <c r="B9" i="9"/>
  <c r="P2" i="27" s="1"/>
  <c r="G9" i="9"/>
  <c r="U2" i="27" s="1"/>
  <c r="C33" i="9"/>
  <c r="Q24" i="27" s="1"/>
  <c r="Q35" i="26"/>
  <c r="C77" i="8"/>
  <c r="Q68" i="26" s="1"/>
  <c r="E43" i="8"/>
  <c r="S35" i="26" s="1"/>
  <c r="F43" i="8"/>
  <c r="T35" i="26" s="1"/>
  <c r="S53" i="26"/>
  <c r="G43" i="8"/>
  <c r="U35" i="26" s="1"/>
  <c r="R2" i="26"/>
  <c r="D77" i="8"/>
  <c r="R68" i="26" s="1"/>
  <c r="R30" i="26"/>
  <c r="T2" i="26"/>
  <c r="F77" i="8"/>
  <c r="T68" i="26" s="1"/>
  <c r="S2" i="26"/>
  <c r="T20" i="26"/>
  <c r="S20" i="26"/>
  <c r="G9" i="8"/>
  <c r="U3" i="26"/>
  <c r="C29" i="7"/>
  <c r="Q4" i="25" s="1"/>
  <c r="E29" i="7"/>
  <c r="S4" i="25" s="1"/>
  <c r="G29" i="7"/>
  <c r="U4" i="25" s="1"/>
  <c r="F29" i="7"/>
  <c r="T4" i="25" s="1"/>
  <c r="D84" i="6"/>
  <c r="R76" i="24" s="1"/>
  <c r="B84" i="6"/>
  <c r="P76" i="24" s="1"/>
  <c r="G84" i="6"/>
  <c r="U76" i="24" s="1"/>
  <c r="E84" i="6"/>
  <c r="S76" i="24" s="1"/>
  <c r="F84" i="6"/>
  <c r="T76" i="24" s="1"/>
  <c r="S95" i="24"/>
  <c r="T85" i="24"/>
  <c r="D9" i="6"/>
  <c r="R2" i="24" s="1"/>
  <c r="E9" i="6"/>
  <c r="B9" i="6"/>
  <c r="B159" i="6" s="1"/>
  <c r="P150" i="24" s="1"/>
  <c r="R31" i="24"/>
  <c r="F9" i="6"/>
  <c r="G10" i="6"/>
  <c r="U3" i="24" s="1"/>
  <c r="G67" i="5"/>
  <c r="U57" i="20" s="1"/>
  <c r="G65" i="5"/>
  <c r="U56" i="20" s="1"/>
  <c r="U51" i="20"/>
  <c r="B65" i="5"/>
  <c r="P56" i="20" s="1"/>
  <c r="P46" i="20"/>
  <c r="E65" i="5"/>
  <c r="S56" i="20" s="1"/>
  <c r="C70" i="5"/>
  <c r="G41" i="5"/>
  <c r="G42" i="5" s="1"/>
  <c r="U35" i="20" s="1"/>
  <c r="F70" i="5"/>
  <c r="D74" i="4"/>
  <c r="R39" i="18" s="1"/>
  <c r="B44" i="4"/>
  <c r="P25" i="18" s="1"/>
  <c r="R12" i="18"/>
  <c r="P12" i="18"/>
  <c r="B23" i="4"/>
  <c r="B72" i="4"/>
  <c r="B74" i="4" s="1"/>
  <c r="P39" i="18" s="1"/>
  <c r="C23" i="4"/>
  <c r="Q12" i="18"/>
  <c r="Q38" i="18"/>
  <c r="G20" i="3"/>
  <c r="U5" i="17" s="1"/>
  <c r="E20" i="3"/>
  <c r="S5" i="17" s="1"/>
  <c r="K20" i="3"/>
  <c r="Y5" i="17" s="1"/>
  <c r="I20" i="3"/>
  <c r="W5" i="17" s="1"/>
  <c r="T3" i="16"/>
  <c r="E20" i="2"/>
  <c r="S13" i="16" s="1"/>
  <c r="S3" i="16"/>
  <c r="B8" i="2"/>
  <c r="Q3" i="16"/>
  <c r="D20" i="2"/>
  <c r="R13" i="16" s="1"/>
  <c r="S4" i="16"/>
  <c r="E79" i="1"/>
  <c r="P119" i="15" s="1"/>
  <c r="P106" i="15"/>
  <c r="E47" i="1"/>
  <c r="P95" i="15" s="1"/>
  <c r="F81" i="1"/>
  <c r="Q120" i="15" s="1"/>
  <c r="Q104" i="15"/>
  <c r="Q95" i="15"/>
  <c r="Q42" i="15"/>
  <c r="B62" i="1"/>
  <c r="P54" i="15" s="1"/>
  <c r="D6" i="10"/>
  <c r="F6" i="10"/>
  <c r="A2" i="10"/>
  <c r="A2" i="11"/>
  <c r="A2" i="12"/>
  <c r="A2" i="4"/>
  <c r="A2" i="9"/>
  <c r="A2" i="8"/>
  <c r="A2" i="3"/>
  <c r="A2" i="6"/>
  <c r="A2" i="7"/>
  <c r="A2" i="2"/>
  <c r="A2" i="5"/>
  <c r="A2" i="1"/>
  <c r="R2" i="25"/>
  <c r="B33" i="9" l="1"/>
  <c r="P24" i="27" s="1"/>
  <c r="B77" i="8"/>
  <c r="P68" i="26" s="1"/>
  <c r="R13" i="18"/>
  <c r="G9" i="6"/>
  <c r="G159" i="6" s="1"/>
  <c r="U150" i="24" s="1"/>
  <c r="F33" i="9"/>
  <c r="T24" i="27" s="1"/>
  <c r="E33" i="9"/>
  <c r="S24" i="27" s="1"/>
  <c r="G33" i="9"/>
  <c r="U24" i="27" s="1"/>
  <c r="E77" i="8"/>
  <c r="S68" i="26" s="1"/>
  <c r="G77" i="8"/>
  <c r="U68" i="26" s="1"/>
  <c r="U2" i="26"/>
  <c r="D159" i="6"/>
  <c r="R150" i="24" s="1"/>
  <c r="F159" i="6"/>
  <c r="T150" i="24" s="1"/>
  <c r="E159" i="6"/>
  <c r="S150" i="24" s="1"/>
  <c r="S2" i="24"/>
  <c r="P2" i="24"/>
  <c r="T2" i="24"/>
  <c r="B70" i="5"/>
  <c r="E70" i="5"/>
  <c r="U34" i="20"/>
  <c r="G70" i="5"/>
  <c r="P38" i="18"/>
  <c r="B25" i="4"/>
  <c r="P13" i="18"/>
  <c r="C25" i="4"/>
  <c r="Q13" i="18"/>
  <c r="R14" i="18"/>
  <c r="D33" i="4"/>
  <c r="R18" i="18" s="1"/>
  <c r="B20" i="2"/>
  <c r="P13" i="16" s="1"/>
  <c r="P3" i="16"/>
  <c r="E59" i="1"/>
  <c r="E81" i="1" s="1"/>
  <c r="P120" i="15" s="1"/>
  <c r="C62" i="1"/>
  <c r="Q54" i="15" s="1"/>
  <c r="U2" i="24" l="1"/>
  <c r="B33" i="4"/>
  <c r="P18" i="18" s="1"/>
  <c r="P14" i="18"/>
  <c r="Q14" i="18"/>
  <c r="C33" i="4"/>
  <c r="Q18" i="18" s="1"/>
  <c r="P104" i="1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<sst xmlns="http://schemas.openxmlformats.org/spreadsheetml/2006/main" count="4243" uniqueCount="3305">
  <si>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</si>
  <si>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</si>
  <si>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</si>
  <si>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</si>
  <si>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</si>
  <si>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</si>
  <si>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</si>
  <si>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</si>
  <si>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</si>
  <si>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</si>
  <si>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</si>
  <si>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</si>
  <si>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</si>
  <si>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</si>
  <si>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</si>
  <si>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</si>
  <si>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</si>
  <si>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</si>
  <si>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</si>
  <si>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</si>
  <si>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</si>
  <si>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</si>
  <si>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</si>
  <si>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</si>
  <si>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</si>
  <si>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</si>
  <si>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</si>
  <si>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</si>
  <si>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</si>
  <si>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</si>
  <si>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</si>
  <si>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</si>
  <si>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</si>
  <si>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</si>
  <si>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</si>
  <si>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</si>
  <si>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</si>
  <si>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</si>
  <si>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</si>
  <si>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</si>
  <si>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</si>
  <si>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</si>
  <si>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</si>
  <si>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</si>
  <si>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</si>
  <si>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</si>
  <si>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</si>
  <si>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</si>
  <si>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</si>
  <si>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</si>
  <si>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</si>
  <si>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</si>
  <si>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</si>
  <si>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</si>
  <si>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</si>
  <si>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</si>
  <si>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</si>
  <si>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</si>
  <si>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</si>
  <si>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</si>
  <si>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</si>
  <si>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</si>
  <si>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</si>
  <si>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</si>
  <si>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</si>
  <si>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</si>
  <si>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</si>
  <si>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</si>
  <si>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</si>
  <si>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</si>
  <si>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</si>
  <si>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</si>
  <si>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</si>
  <si>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</si>
  <si>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</si>
  <si>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</si>
  <si>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</si>
  <si>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</si>
  <si>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</si>
  <si>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</si>
  <si>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</si>
  <si>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</si>
  <si>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</si>
  <si>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</si>
  <si>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</si>
  <si>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</si>
  <si>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</si>
  <si>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</si>
  <si>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</si>
  <si>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</si>
  <si>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</si>
  <si>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</si>
  <si>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</si>
  <si>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</si>
  <si>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</si>
  <si>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</si>
  <si>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</si>
  <si>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</si>
  <si>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</si>
  <si>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</si>
  <si>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</si>
  <si>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</si>
  <si>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</si>
  <si>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</si>
  <si>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</si>
  <si>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</si>
  <si>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</si>
  <si>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</si>
  <si>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</si>
  <si>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</si>
  <si>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</si>
  <si>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</si>
  <si>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</si>
  <si>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</si>
  <si>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</si>
  <si>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</si>
  <si>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</si>
  <si>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</si>
  <si>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</si>
  <si>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</si>
  <si>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</si>
  <si>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</si>
  <si>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</si>
  <si>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</si>
  <si>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</si>
  <si>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</si>
  <si>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</si>
  <si>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</si>
  <si>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</si>
  <si>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</si>
  <si>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</si>
  <si>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</si>
  <si>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</si>
  <si>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</si>
  <si>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</si>
  <si>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</si>
  <si>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</si>
  <si>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</si>
  <si>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</si>
  <si>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</si>
  <si>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</si>
  <si>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</si>
  <si>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</si>
  <si>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</si>
  <si>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</si>
  <si>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</si>
  <si>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</si>
  <si>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</si>
  <si>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</si>
  <si>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</si>
  <si>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</si>
  <si>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</si>
  <si>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</si>
  <si>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</si>
  <si>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</si>
  <si>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</si>
  <si>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</si>
  <si>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</si>
  <si>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</si>
  <si>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</si>
  <si>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</si>
  <si>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</si>
  <si>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</si>
  <si>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</si>
  <si>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</si>
  <si>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</si>
  <si>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</si>
  <si>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</si>
  <si>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</si>
  <si>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</si>
  <si>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</si>
  <si>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</si>
  <si>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</si>
  <si>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</si>
  <si>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</si>
  <si>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</si>
  <si>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</si>
  <si>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</si>
  <si>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</si>
  <si>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</si>
  <si>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</si>
  <si>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</si>
  <si>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</si>
  <si>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</si>
  <si>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</si>
  <si>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</si>
  <si>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</si>
  <si>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</si>
  <si>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</si>
  <si>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</si>
  <si>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</si>
  <si>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</si>
  <si>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</si>
  <si>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</si>
  <si>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</si>
  <si>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</si>
  <si>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</si>
  <si>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</si>
  <si>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</si>
  <si>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</si>
  <si>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</si>
  <si>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</si>
  <si>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</si>
  <si>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</si>
  <si>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</si>
  <si>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</si>
  <si>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</si>
  <si>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</si>
  <si>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</si>
  <si>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</si>
  <si>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</si>
  <si>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</si>
  <si>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</si>
  <si>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</si>
  <si>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</si>
  <si>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</si>
  <si>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</si>
  <si>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</si>
  <si>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</si>
  <si>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</si>
  <si>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</si>
  <si>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</si>
  <si>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</si>
  <si>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</si>
  <si>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</si>
  <si>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</si>
  <si>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</si>
  <si>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</si>
  <si>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</si>
  <si>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</si>
  <si>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</si>
  <si>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</si>
  <si>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</si>
  <si>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</si>
  <si>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</si>
  <si>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</si>
  <si>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</si>
  <si>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</si>
  <si>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</si>
  <si>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</si>
  <si>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</si>
  <si>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</si>
  <si>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</si>
  <si>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</si>
  <si>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</si>
  <si>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</si>
  <si>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</si>
  <si>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</si>
  <si>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</si>
  <si>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</si>
  <si>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</si>
  <si>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</si>
  <si>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</si>
  <si>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</si>
  <si>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</si>
  <si>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</si>
  <si>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</si>
  <si>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</si>
  <si>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</si>
  <si>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</si>
  <si>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</si>
  <si>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</si>
  <si>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</si>
  <si>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</si>
  <si>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</si>
  <si>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</si>
  <si>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</si>
  <si>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</si>
  <si>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</si>
  <si>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</si>
  <si>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</si>
  <si>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</si>
  <si>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</si>
  <si>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</si>
  <si>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</si>
  <si>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</si>
  <si>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</si>
  <si>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</si>
  <si>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</si>
  <si>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</si>
  <si>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</si>
  <si>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</si>
  <si>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</si>
  <si>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</si>
  <si>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</si>
  <si>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</si>
  <si>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</si>
  <si>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</si>
  <si>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</si>
  <si>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</si>
  <si>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</si>
  <si>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</si>
  <si>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</si>
  <si>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</si>
  <si>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</si>
  <si>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</si>
  <si>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</si>
  <si>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</si>
  <si>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</si>
  <si>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</si>
  <si>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</si>
  <si>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</si>
  <si>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</si>
  <si>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</si>
  <si>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</si>
  <si>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</si>
  <si>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</si>
  <si>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</si>
  <si>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</si>
  <si>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</si>
  <si>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</si>
  <si>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</si>
  <si>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</si>
  <si>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</si>
  <si>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</si>
  <si>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</si>
  <si>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</si>
  <si>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</si>
  <si>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</si>
  <si>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</si>
  <si>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</si>
  <si>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</si>
  <si>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</si>
  <si>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</si>
  <si>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</si>
  <si>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</si>
  <si>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</si>
  <si>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</si>
  <si>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</si>
  <si>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</si>
  <si>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</si>
  <si>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</si>
  <si>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</si>
  <si>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</si>
  <si>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</si>
  <si>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</si>
  <si>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</si>
  <si>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</si>
  <si>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</si>
  <si>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</si>
  <si>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</si>
  <si>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</si>
  <si>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</si>
  <si>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</si>
  <si>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</si>
  <si>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</si>
  <si>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</si>
  <si>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</si>
  <si>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</si>
  <si>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</si>
  <si>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</si>
  <si>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</si>
  <si>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</si>
  <si>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</si>
  <si>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</si>
  <si>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</si>
  <si>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</si>
  <si>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</si>
  <si>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</si>
  <si>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</si>
  <si>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</si>
  <si>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</si>
  <si>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</si>
  <si>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</si>
  <si>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</si>
  <si>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</si>
  <si>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</si>
  <si>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</si>
  <si>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</si>
  <si>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</si>
  <si>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</si>
  <si>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</si>
  <si>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</si>
  <si>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</si>
  <si>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</si>
  <si>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</si>
  <si>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</si>
  <si>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</si>
  <si>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</si>
  <si>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</si>
  <si>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</si>
  <si>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</si>
  <si>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</si>
  <si>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</si>
  <si>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</si>
  <si>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</si>
  <si>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</si>
  <si>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</si>
  <si>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</si>
  <si>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</si>
  <si>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</si>
  <si>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</si>
  <si>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</si>
  <si>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</si>
  <si>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</si>
  <si>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</si>
  <si>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</si>
  <si>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</si>
  <si>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</si>
  <si>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</si>
  <si>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</si>
  <si>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</si>
  <si>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</si>
  <si>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</si>
  <si>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</si>
  <si>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</si>
  <si>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</si>
  <si>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</si>
  <si>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</si>
  <si>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</si>
  <si>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</si>
  <si>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</si>
  <si>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</si>
  <si>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</si>
  <si>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</si>
  <si>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</si>
  <si>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</si>
  <si>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</si>
  <si>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</si>
  <si>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</si>
  <si>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</si>
  <si>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</si>
  <si>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</si>
  <si>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</si>
  <si>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</si>
  <si>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</si>
  <si>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</si>
  <si>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</si>
  <si>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</si>
  <si>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</si>
  <si>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</si>
  <si>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</si>
  <si>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</si>
  <si>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</si>
  <si>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</si>
  <si>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</si>
  <si>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</si>
  <si>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</si>
  <si>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</si>
  <si>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</si>
  <si>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</si>
  <si>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</si>
  <si>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</si>
  <si>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</si>
  <si>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</si>
  <si>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</si>
  <si>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</si>
  <si>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</si>
  <si>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</si>
  <si>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</si>
  <si>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</si>
  <si>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</si>
  <si>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</si>
  <si>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</si>
  <si>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</si>
  <si>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</si>
  <si>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</si>
  <si>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</si>
  <si>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</si>
  <si>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</si>
  <si>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</si>
  <si>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</si>
  <si>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</si>
  <si>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</si>
  <si>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</si>
  <si>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</si>
  <si>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</si>
  <si>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</si>
  <si>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</si>
  <si>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</si>
  <si>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</si>
  <si>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</si>
  <si>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</si>
  <si>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</si>
  <si>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</si>
  <si>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</si>
  <si>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</si>
  <si>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</si>
  <si>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</si>
  <si>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</si>
  <si>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</si>
  <si>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</si>
  <si>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</si>
  <si>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</si>
  <si>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</si>
  <si>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</si>
  <si>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</si>
  <si>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</si>
  <si>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</si>
  <si>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</si>
  <si>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</si>
  <si>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</si>
  <si>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</si>
  <si>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</si>
  <si>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</si>
  <si>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</si>
  <si>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</si>
  <si>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</si>
  <si>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</si>
  <si>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</si>
  <si>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</si>
  <si>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</si>
  <si>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</si>
  <si>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</si>
  <si>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</si>
  <si>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</si>
  <si>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</si>
  <si>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</si>
  <si>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</si>
  <si>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</si>
  <si>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</si>
  <si>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</si>
  <si>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</si>
  <si>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</si>
  <si>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</si>
  <si>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</si>
  <si>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</si>
  <si>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</si>
  <si>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</si>
  <si>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</si>
  <si>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</si>
  <si>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</si>
  <si>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</si>
  <si>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</si>
  <si>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</si>
  <si>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</si>
  <si>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</si>
  <si>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</si>
  <si>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</si>
  <si>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</si>
  <si>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</si>
  <si>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</si>
  <si>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</si>
  <si>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</si>
  <si>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</si>
  <si>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</si>
  <si>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</si>
  <si>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</si>
  <si>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</si>
  <si>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</si>
  <si>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</si>
  <si>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</si>
  <si>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</si>
  <si>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</si>
  <si>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</si>
  <si>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</si>
  <si>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</si>
  <si>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</si>
  <si>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</si>
  <si>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</si>
  <si>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</si>
  <si>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</si>
  <si>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</si>
  <si>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</si>
  <si>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</si>
  <si>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</si>
  <si>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</si>
  <si>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</si>
  <si>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</si>
  <si>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</si>
  <si>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</si>
  <si>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</si>
  <si>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</si>
  <si>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</si>
  <si>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</si>
  <si>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</si>
  <si>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</si>
  <si>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</si>
  <si>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</si>
  <si>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</si>
  <si>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</si>
  <si>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</si>
  <si>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</si>
  <si>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</si>
  <si>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</si>
  <si>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</si>
  <si>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</si>
  <si>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</si>
  <si>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</si>
  <si>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</si>
  <si>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</si>
  <si>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</si>
  <si>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</si>
  <si>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</si>
  <si>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</si>
  <si>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</si>
  <si>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</si>
  <si>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</si>
  <si>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</si>
  <si>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</si>
  <si>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</si>
  <si>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</si>
  <si>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</si>
  <si>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</si>
  <si>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</si>
  <si>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</si>
  <si>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</si>
  <si>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</si>
  <si>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</si>
  <si>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</si>
  <si>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</si>
  <si>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</si>
  <si>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</si>
  <si>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</si>
  <si>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</si>
  <si>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</si>
  <si>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</si>
  <si>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</si>
  <si>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</si>
  <si>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</si>
  <si>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</si>
  <si>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</si>
  <si>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</si>
  <si>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</si>
  <si>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</si>
  <si>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</si>
  <si>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</si>
  <si>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</si>
  <si>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</si>
  <si>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</si>
  <si>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</si>
  <si>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</si>
  <si>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</si>
  <si>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</si>
  <si>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</si>
  <si>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</si>
  <si>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</si>
  <si>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</si>
  <si>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</si>
  <si>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</si>
  <si>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</si>
  <si>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</si>
  <si>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</si>
  <si>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</si>
  <si>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</si>
  <si>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</si>
  <si>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</si>
  <si>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</si>
  <si>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</si>
  <si>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</si>
  <si>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</si>
  <si>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</si>
  <si>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</si>
  <si>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</si>
  <si>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</si>
  <si>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</si>
  <si>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</si>
  <si>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</si>
  <si>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</si>
  <si>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</si>
  <si>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</si>
  <si>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</si>
  <si>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</si>
  <si>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</si>
  <si>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</si>
  <si>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</si>
  <si>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</si>
  <si>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</si>
  <si>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</si>
  <si>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</si>
  <si>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</si>
  <si>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</si>
  <si>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</si>
  <si>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</si>
  <si>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</si>
  <si>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</si>
  <si>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</si>
  <si>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</si>
  <si>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</si>
  <si>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</si>
  <si>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</si>
  <si>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</si>
  <si>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</si>
  <si>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</si>
  <si>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</si>
  <si>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</si>
  <si>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</si>
  <si>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</si>
  <si>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</si>
  <si>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</si>
  <si>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</si>
  <si>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</si>
  <si>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</si>
  <si>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</si>
  <si>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</si>
  <si>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</si>
  <si>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</si>
  <si>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</si>
  <si>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</si>
  <si>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</si>
  <si>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</si>
  <si>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</si>
  <si>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</si>
  <si>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</si>
  <si>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</si>
  <si>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</si>
  <si>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</si>
  <si>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</si>
  <si>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</si>
  <si>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</si>
  <si>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</si>
  <si>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</si>
  <si>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</si>
  <si>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</si>
  <si>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</si>
  <si>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</si>
  <si>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</si>
  <si>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</si>
  <si>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</si>
  <si>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</si>
  <si>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</si>
  <si>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</si>
  <si>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</si>
  <si>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</si>
  <si>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</si>
  <si>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</si>
  <si>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</si>
  <si>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</si>
  <si>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</si>
  <si>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</si>
  <si>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</si>
  <si>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</si>
  <si>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</si>
  <si>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</si>
  <si>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</si>
  <si>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</si>
  <si>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</si>
  <si>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</si>
  <si>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</si>
  <si>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</si>
  <si>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</si>
  <si>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</si>
  <si>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</si>
  <si>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</si>
  <si>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</si>
  <si>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</si>
  <si>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</si>
  <si>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</si>
  <si>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</si>
  <si>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</si>
  <si>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</si>
  <si>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</si>
  <si>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</si>
  <si>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</si>
  <si>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</si>
  <si>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</si>
  <si>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</si>
  <si>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</si>
  <si>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</si>
  <si>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</si>
  <si>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</si>
  <si>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</si>
  <si>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</si>
  <si>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</si>
  <si>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</si>
  <si>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</si>
  <si>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</si>
  <si>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</si>
  <si>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</si>
  <si>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</si>
  <si>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</si>
  <si>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</si>
  <si>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</si>
  <si>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</si>
  <si>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</si>
  <si>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</si>
  <si>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</si>
  <si>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</si>
  <si>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</si>
  <si>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</si>
  <si>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</si>
  <si>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</si>
  <si>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</si>
  <si>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</si>
  <si>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</si>
  <si>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</si>
  <si>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</si>
  <si>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</si>
  <si>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</si>
  <si>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</si>
  <si>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</si>
  <si>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</si>
  <si>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</si>
  <si>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</si>
  <si>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</si>
  <si>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</si>
  <si>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</si>
  <si>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</si>
  <si>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</si>
  <si>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</si>
  <si>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</si>
  <si>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</si>
  <si>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</si>
  <si>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</si>
  <si>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</si>
  <si>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</si>
  <si>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</si>
  <si>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</si>
  <si>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</si>
  <si>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</si>
  <si>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</si>
  <si>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</si>
  <si>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</si>
  <si>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</si>
  <si>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</si>
  <si>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</si>
  <si>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</si>
  <si>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</si>
  <si>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</si>
  <si>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</si>
  <si>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</si>
  <si>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</si>
  <si>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</si>
  <si>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</si>
  <si>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</si>
  <si>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</si>
  <si>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</si>
  <si>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</si>
  <si>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</si>
  <si>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</si>
  <si>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</si>
  <si>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</si>
  <si>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</si>
  <si>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</si>
  <si>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</si>
  <si>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</si>
  <si>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</si>
  <si>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</si>
  <si>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</si>
  <si>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</si>
  <si>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</si>
  <si>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</si>
  <si>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</si>
  <si>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</si>
  <si>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</si>
  <si>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</si>
  <si>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</si>
  <si>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</si>
  <si>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</si>
  <si>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</si>
  <si>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</si>
  <si>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</si>
  <si>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</si>
  <si>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</si>
  <si>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</si>
  <si>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</si>
  <si>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</si>
  <si>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</si>
  <si>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</si>
  <si>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</si>
  <si>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</si>
  <si>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</si>
  <si>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</si>
  <si>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</si>
  <si>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</si>
  <si>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</si>
  <si>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</si>
  <si>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</si>
  <si>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</si>
  <si>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</si>
  <si>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</si>
  <si>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</si>
  <si>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</si>
  <si>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</si>
  <si>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</si>
  <si>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</si>
  <si>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</si>
  <si>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</si>
  <si>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</si>
  <si>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</si>
  <si>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</si>
  <si>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</si>
  <si>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</si>
  <si>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</si>
  <si>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</si>
  <si>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</si>
  <si>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</si>
  <si>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</si>
  <si>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</si>
  <si>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</si>
  <si>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</si>
  <si>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</si>
  <si>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</si>
  <si>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</si>
  <si>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</si>
  <si>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</si>
  <si>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</si>
  <si>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</si>
  <si>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</si>
  <si>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</si>
  <si>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</si>
  <si>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</si>
  <si>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</si>
  <si>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</si>
  <si>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</si>
  <si>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</si>
  <si>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</si>
  <si>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</si>
  <si>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</si>
  <si>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</si>
  <si>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</si>
  <si>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</si>
  <si>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</si>
  <si>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</si>
  <si>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</si>
  <si>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</si>
  <si>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</si>
  <si>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</si>
  <si>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</si>
  <si>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</si>
  <si>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</si>
  <si>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</si>
  <si>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</si>
  <si>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</si>
  <si>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</si>
  <si>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</si>
  <si>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</si>
  <si>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</si>
  <si>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</si>
  <si>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</si>
  <si>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</si>
  <si>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</si>
  <si>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</si>
  <si>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</si>
  <si>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</si>
  <si>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</si>
  <si>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</si>
  <si>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</si>
  <si>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</si>
  <si>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</si>
  <si>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</si>
  <si>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</si>
  <si>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</si>
  <si>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</si>
  <si>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</si>
  <si>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</si>
  <si>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</si>
  <si>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</si>
  <si>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</si>
  <si>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</si>
  <si>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</si>
  <si>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</si>
  <si>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</si>
  <si>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</si>
  <si>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</si>
  <si>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</si>
  <si>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</si>
  <si>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</si>
  <si>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</si>
  <si>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</si>
  <si>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</si>
  <si>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</si>
  <si>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</si>
  <si>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</si>
  <si>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</si>
  <si>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</si>
  <si>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</si>
  <si>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</si>
  <si>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</si>
  <si>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</si>
  <si>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</si>
  <si>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</si>
  <si>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</si>
  <si>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</si>
  <si>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</si>
  <si>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</si>
  <si>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</si>
  <si>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</si>
  <si>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</si>
  <si>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</si>
  <si>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</si>
  <si>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</si>
  <si>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</si>
  <si>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</si>
  <si>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</si>
  <si>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</si>
  <si>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</si>
  <si>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</si>
  <si>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</si>
  <si>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</si>
  <si>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</si>
  <si>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</si>
  <si>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</si>
  <si>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</si>
  <si>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</si>
  <si>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</si>
  <si>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</si>
  <si>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</si>
  <si>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</si>
  <si>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</si>
  <si>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</si>
  <si>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</si>
  <si>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</si>
  <si>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</si>
  <si>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</si>
  <si>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</si>
  <si>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</si>
  <si>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</si>
  <si>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</si>
  <si>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</si>
  <si>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</si>
  <si>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</si>
  <si>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</si>
  <si>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</si>
  <si>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</si>
  <si>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</si>
  <si>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</si>
  <si>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</si>
  <si>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</si>
  <si>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</si>
  <si>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</si>
  <si>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</si>
  <si>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</si>
  <si>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</si>
  <si>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</si>
  <si>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</si>
  <si>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</si>
  <si>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</si>
  <si>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</si>
  <si>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</si>
  <si>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</si>
  <si>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</si>
  <si>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</si>
  <si>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</si>
  <si>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</si>
  <si>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</si>
  <si>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</si>
  <si>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</si>
  <si>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</si>
  <si>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</si>
  <si>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</si>
  <si>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</si>
  <si>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</si>
  <si>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</si>
  <si>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</si>
  <si>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</si>
  <si>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</si>
  <si>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</si>
  <si>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</si>
  <si>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</si>
  <si>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</si>
  <si>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</si>
  <si>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</si>
  <si>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</si>
  <si>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</si>
  <si>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</si>
  <si>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</si>
  <si>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</si>
  <si>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</si>
  <si>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</si>
  <si>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</si>
  <si>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</si>
  <si>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</si>
  <si>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</si>
  <si>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</si>
  <si>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</si>
  <si>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</si>
  <si>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</si>
  <si>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</si>
  <si>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</si>
  <si>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</si>
  <si>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</si>
  <si>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</si>
  <si>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</si>
  <si>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</si>
  <si>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</si>
  <si>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</si>
  <si>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</si>
  <si>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</si>
  <si>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</si>
  <si>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</si>
  <si>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</si>
  <si>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</si>
  <si>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</si>
  <si>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</si>
  <si>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</si>
  <si>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</si>
  <si>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</si>
  <si>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</si>
  <si>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</si>
  <si>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</si>
  <si>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</si>
  <si>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</si>
  <si>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</si>
  <si>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</si>
  <si>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</si>
  <si>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</si>
  <si>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</si>
  <si>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</si>
  <si>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</si>
  <si>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</si>
  <si>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</si>
  <si>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</si>
  <si>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</si>
  <si>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</si>
  <si>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</si>
  <si>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</si>
  <si>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</si>
  <si>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</si>
  <si>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</si>
  <si>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</si>
  <si>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</si>
  <si>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</si>
  <si>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</si>
  <si>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</si>
  <si>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</si>
  <si>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</si>
  <si>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</si>
  <si>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</si>
  <si>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</si>
  <si>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</si>
  <si>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</si>
  <si>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</si>
  <si>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</si>
  <si>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</si>
  <si>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</si>
  <si>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</si>
  <si>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</si>
  <si>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</si>
  <si>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</si>
  <si>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</si>
  <si>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</si>
  <si>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</si>
  <si>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</si>
  <si>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</si>
  <si>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</si>
  <si>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</si>
  <si>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</si>
  <si>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</si>
  <si>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</si>
  <si>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</si>
  <si>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</si>
  <si>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</si>
  <si>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</si>
  <si>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</si>
  <si>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</si>
  <si>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</si>
  <si>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</si>
  <si>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</si>
  <si>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</si>
  <si>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</si>
  <si>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</si>
  <si>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</si>
  <si>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</si>
  <si>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</si>
  <si>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</si>
  <si>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</si>
  <si>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</si>
  <si>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</si>
  <si>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</si>
  <si>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</si>
  <si>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</si>
  <si>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</si>
  <si>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</si>
  <si>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</si>
  <si>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</si>
  <si>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</si>
  <si>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</si>
  <si>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</si>
  <si>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</si>
  <si>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</si>
  <si>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</si>
  <si>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</si>
  <si>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</si>
  <si>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</si>
  <si>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</si>
  <si>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</si>
  <si>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</si>
  <si>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</si>
  <si>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</si>
  <si>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</si>
  <si>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</si>
  <si>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</si>
  <si>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</si>
  <si>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</si>
  <si>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</si>
  <si>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</si>
  <si>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</si>
  <si>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</si>
  <si>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</si>
  <si>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</si>
  <si>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</si>
  <si>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</si>
  <si>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</si>
  <si>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</si>
  <si>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</si>
  <si>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</si>
  <si>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</si>
  <si>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</si>
  <si>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</si>
  <si>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</si>
  <si>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</si>
  <si>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</si>
  <si>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</si>
  <si>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</si>
  <si>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</si>
  <si>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</si>
  <si>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</si>
  <si>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</si>
  <si>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</si>
  <si>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</si>
  <si>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</si>
  <si>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</si>
  <si>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</si>
  <si>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</si>
  <si>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</si>
  <si>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</si>
  <si>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</si>
  <si>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</si>
  <si>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</si>
  <si>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</si>
  <si>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</si>
  <si>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</si>
  <si>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</si>
  <si>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</si>
  <si>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</si>
  <si>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</si>
  <si>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</si>
  <si>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</si>
  <si>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</si>
  <si>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</si>
  <si>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</si>
  <si>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</si>
  <si>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</si>
  <si>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</si>
  <si>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</si>
  <si>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</si>
  <si>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</si>
  <si>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</si>
  <si>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</si>
  <si>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</si>
  <si>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</si>
  <si>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</si>
  <si>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</si>
  <si>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</si>
  <si>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</si>
  <si>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</si>
  <si>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</si>
  <si>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</si>
  <si>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</si>
  <si>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</si>
  <si>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</si>
  <si>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</si>
  <si>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</si>
  <si>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</si>
  <si>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</si>
  <si>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</si>
  <si>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</si>
  <si>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</si>
  <si>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</si>
  <si>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</si>
  <si>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</si>
  <si>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</si>
  <si>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</si>
  <si>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</si>
  <si>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</si>
  <si>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</si>
  <si>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</si>
  <si>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</si>
  <si>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</si>
  <si>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</si>
  <si>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</si>
  <si>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</si>
  <si>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</si>
  <si>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</si>
  <si>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</si>
  <si>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</si>
  <si>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</si>
  <si>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</si>
  <si>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</si>
  <si>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</si>
  <si>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</si>
  <si>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</si>
  <si>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</si>
  <si>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</si>
  <si>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</si>
  <si>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</si>
  <si>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</si>
  <si>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</si>
  <si>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</si>
  <si>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</si>
  <si>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</si>
  <si>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</si>
  <si>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</si>
  <si>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</si>
  <si>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</si>
  <si>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</si>
  <si>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</si>
  <si>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</si>
  <si>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</si>
  <si>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</si>
  <si>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</si>
  <si>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</si>
  <si>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</si>
  <si>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</si>
  <si>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</si>
  <si>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</si>
  <si>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</si>
  <si>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</si>
  <si>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</si>
  <si>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</si>
  <si>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</si>
  <si>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</si>
  <si>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</si>
  <si>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</si>
  <si>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</si>
  <si>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</si>
  <si>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</si>
  <si>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</si>
  <si>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</si>
  <si>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</si>
  <si>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</si>
  <si>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</si>
  <si>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</si>
  <si>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</si>
  <si>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</si>
  <si>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</si>
  <si>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</si>
  <si>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</si>
  <si>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</si>
  <si>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</si>
  <si>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</si>
  <si>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</si>
  <si>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</si>
  <si>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</si>
  <si>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</si>
  <si>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</si>
  <si>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</si>
  <si>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</si>
  <si>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</si>
  <si>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</si>
  <si>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</si>
  <si>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</si>
  <si>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</si>
  <si>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</si>
  <si>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</si>
  <si>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</si>
  <si>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</si>
  <si>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</si>
  <si>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</si>
  <si>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</si>
  <si>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</si>
  <si>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</si>
  <si>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</si>
  <si>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</si>
  <si>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</si>
  <si>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</si>
  <si>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</si>
  <si>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</si>
  <si>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</si>
  <si>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</si>
  <si>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</si>
  <si>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</si>
  <si>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</si>
  <si>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</si>
  <si>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</si>
  <si>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</si>
  <si>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</si>
  <si>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</si>
  <si>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</si>
  <si>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</si>
  <si>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</si>
  <si>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</si>
  <si>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</si>
  <si>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</si>
  <si>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</si>
  <si>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</si>
  <si>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</si>
  <si>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</si>
  <si>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</si>
  <si>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</si>
  <si>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</si>
  <si>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</si>
  <si>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</si>
  <si>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</si>
  <si>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</si>
  <si>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</si>
  <si>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</si>
  <si>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</si>
  <si>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</si>
  <si>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</si>
  <si>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</si>
  <si>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</si>
  <si>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</si>
  <si>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</si>
  <si>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</si>
  <si>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</si>
  <si>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</si>
  <si>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</si>
  <si>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</si>
  <si>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</si>
  <si>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</si>
  <si>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</si>
  <si>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</si>
  <si>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</si>
  <si>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</si>
  <si>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</si>
  <si>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</si>
  <si>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</si>
  <si>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</si>
  <si>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</si>
  <si>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</si>
  <si>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</si>
  <si>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</si>
  <si>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</si>
  <si>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</si>
  <si>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</si>
  <si>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</si>
  <si>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</si>
  <si>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</si>
  <si>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</si>
  <si>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</si>
  <si>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</si>
  <si>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</si>
  <si>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</si>
  <si>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</si>
  <si>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</si>
  <si>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</si>
  <si>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</si>
  <si>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</si>
  <si>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</si>
  <si>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</si>
  <si>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</si>
  <si>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</si>
  <si>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</si>
  <si>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</si>
  <si>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</si>
  <si>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</si>
  <si>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</si>
  <si>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</si>
  <si>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</si>
  <si>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</si>
  <si>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</si>
  <si>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</si>
  <si>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</si>
  <si>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</si>
  <si>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</si>
  <si>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</si>
  <si>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</si>
  <si>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</si>
  <si>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</si>
  <si>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</si>
  <si>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</si>
  <si>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</si>
  <si>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</si>
  <si>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</si>
  <si>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</si>
  <si>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</si>
  <si>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</si>
  <si>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</si>
  <si>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</si>
  <si>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</si>
  <si>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</si>
  <si>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</si>
  <si>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</si>
  <si>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</si>
  <si>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</si>
  <si>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</si>
  <si>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</si>
  <si>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</si>
  <si>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</si>
  <si>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</si>
  <si>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</si>
  <si>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</si>
  <si>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</si>
  <si>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</si>
  <si>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</si>
  <si>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</si>
  <si>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</si>
  <si>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</si>
  <si>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</si>
  <si>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</si>
  <si>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</si>
  <si>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</si>
  <si>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</si>
  <si>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</si>
  <si>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</si>
  <si>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</si>
  <si>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</si>
  <si>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</si>
  <si>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</si>
  <si>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</si>
  <si>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</si>
  <si>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</si>
  <si>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</si>
  <si>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</si>
  <si>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</si>
  <si>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</si>
  <si>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</si>
  <si>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</si>
  <si>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</si>
  <si>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</si>
  <si>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</si>
  <si>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</si>
  <si>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</si>
  <si>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</si>
  <si>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</si>
  <si>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</si>
  <si>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</si>
  <si>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</si>
  <si>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</si>
  <si>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</si>
  <si>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</si>
  <si>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</si>
  <si>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</si>
  <si>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</si>
  <si>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</si>
  <si>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</si>
  <si>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</si>
  <si>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</si>
  <si>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</si>
  <si>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</si>
  <si>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</si>
  <si>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</si>
  <si>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</si>
  <si>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</si>
  <si>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</si>
  <si>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</si>
  <si>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</si>
  <si>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</si>
  <si>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</si>
  <si>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</si>
  <si>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</si>
  <si>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</si>
  <si>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</si>
  <si>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</si>
  <si>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</si>
  <si>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</si>
  <si>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</si>
  <si>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</si>
  <si>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</si>
  <si>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</si>
  <si>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</si>
  <si>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</si>
  <si>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</si>
  <si>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</si>
  <si>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</si>
  <si>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</si>
  <si>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</si>
  <si>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</si>
  <si>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</si>
  <si>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</si>
  <si>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</si>
  <si>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</si>
  <si>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</si>
  <si>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</si>
  <si>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</si>
  <si>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</si>
  <si>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</si>
  <si>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</si>
  <si>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</si>
  <si>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</si>
  <si>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</si>
  <si>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</si>
  <si>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</si>
  <si>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</si>
  <si>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</si>
  <si>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</si>
  <si>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</si>
  <si>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</si>
  <si>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</si>
  <si>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</si>
  <si>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</si>
  <si>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</si>
  <si>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</si>
  <si>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</si>
  <si>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</si>
  <si>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</si>
  <si>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</si>
  <si>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</si>
  <si>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</si>
  <si>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</si>
  <si>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</si>
  <si>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</si>
  <si>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</si>
  <si>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</si>
  <si>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</si>
  <si>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</si>
  <si>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</si>
  <si>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</si>
  <si>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</si>
  <si>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</si>
  <si>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</si>
  <si>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</si>
  <si>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</si>
  <si>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</si>
  <si>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</si>
  <si>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</si>
  <si>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</si>
  <si>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</si>
  <si>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</si>
  <si>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</si>
  <si>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</si>
  <si>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</si>
  <si>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</si>
  <si>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</si>
  <si>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</si>
  <si>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</si>
  <si>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</si>
  <si>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</si>
  <si>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</si>
  <si>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</si>
  <si>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</si>
  <si>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</si>
  <si>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</si>
  <si>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</si>
  <si>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</si>
  <si>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</si>
  <si>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</si>
  <si>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</si>
  <si>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</si>
  <si>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</si>
  <si>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</si>
  <si>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</si>
  <si>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</si>
  <si>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</si>
  <si>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</si>
  <si>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</si>
  <si>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</si>
  <si>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</si>
  <si>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</si>
  <si>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</si>
  <si>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</si>
  <si>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</si>
  <si>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</si>
  <si>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</si>
  <si>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</si>
  <si>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</si>
  <si>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</si>
  <si>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</si>
  <si>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</si>
  <si>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</si>
  <si>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</si>
  <si>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</si>
  <si>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</si>
  <si>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</si>
  <si>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</si>
  <si>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</si>
  <si>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</si>
  <si>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</si>
  <si>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</si>
  <si>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</si>
  <si>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</si>
  <si>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</si>
  <si>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</si>
  <si>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</si>
  <si>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</si>
  <si>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</si>
  <si>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</si>
  <si>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</si>
  <si>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</si>
  <si>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</si>
  <si>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</si>
  <si>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</si>
  <si>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</si>
  <si>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</si>
  <si>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</si>
  <si>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</si>
  <si>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</si>
  <si>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</si>
  <si>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</si>
  <si>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</si>
  <si>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</si>
  <si>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</si>
  <si>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</si>
  <si>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</si>
  <si>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</si>
  <si>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</si>
  <si>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</si>
  <si>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</si>
  <si>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</si>
  <si>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</si>
  <si>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</si>
  <si>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</si>
  <si>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</si>
  <si>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</si>
  <si>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</si>
  <si>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</si>
  <si>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</si>
  <si>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</si>
  <si>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</si>
  <si>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</si>
  <si>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</si>
  <si>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</si>
  <si>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</si>
  <si>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</si>
  <si>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</si>
  <si>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</si>
  <si>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</si>
  <si>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</si>
  <si>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</si>
  <si>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</si>
  <si>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</si>
  <si>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</si>
  <si>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</si>
  <si>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</si>
  <si>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</si>
  <si>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</si>
  <si>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</si>
  <si>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</si>
  <si>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</si>
  <si>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</si>
  <si>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</si>
  <si>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</si>
  <si>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</si>
  <si>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</si>
  <si>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</si>
  <si>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</si>
  <si>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</si>
  <si>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</si>
  <si>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</si>
  <si>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</si>
  <si>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</si>
  <si>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</si>
  <si>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</si>
  <si>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</si>
  <si>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</si>
  <si>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</si>
  <si>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</si>
  <si>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</si>
  <si>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</si>
  <si>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</si>
  <si>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</si>
  <si>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</si>
  <si>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</si>
  <si>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</si>
  <si>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</si>
  <si>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</si>
  <si>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</si>
  <si>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</si>
  <si>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</si>
  <si>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</si>
  <si>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</si>
  <si>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</si>
  <si>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</si>
  <si>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</si>
  <si>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</si>
  <si>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</si>
  <si>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</si>
  <si>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</si>
  <si>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</si>
  <si>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</si>
  <si>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</si>
  <si>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</si>
  <si>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</si>
  <si>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</si>
  <si>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</si>
  <si>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</si>
  <si>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</si>
  <si>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</si>
  <si>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</si>
  <si>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</si>
  <si>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</si>
  <si>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</si>
  <si>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</si>
  <si>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</si>
  <si>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</si>
  <si>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</si>
  <si>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</si>
  <si>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</si>
  <si>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</si>
  <si>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</si>
  <si>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</si>
  <si>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</si>
  <si>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</si>
  <si>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</si>
  <si>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</si>
  <si>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</si>
  <si>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</si>
  <si>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</si>
  <si>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</si>
  <si>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</si>
  <si>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</si>
  <si>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</si>
  <si>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</si>
  <si>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</si>
  <si>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</si>
  <si>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</si>
  <si>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</si>
  <si>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</si>
  <si>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</si>
  <si>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</si>
  <si>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</si>
  <si>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</si>
  <si>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</si>
  <si>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</si>
  <si>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</si>
  <si>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</si>
  <si>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</si>
  <si>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</si>
  <si>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</si>
  <si>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</si>
  <si>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</si>
  <si>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</si>
  <si>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</si>
  <si>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</si>
  <si>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</si>
  <si>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</si>
  <si>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</si>
  <si>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</si>
  <si>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</si>
  <si>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</si>
  <si>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</si>
  <si>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</si>
  <si>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</si>
  <si>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</si>
  <si>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</si>
  <si>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</si>
  <si>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</si>
  <si>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</si>
  <si>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</si>
  <si>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</si>
  <si>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</si>
  <si>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</si>
  <si>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</si>
  <si>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</si>
  <si>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</si>
  <si>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</si>
  <si>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</si>
  <si>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</si>
  <si>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</si>
  <si>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</si>
  <si>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</si>
  <si>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</si>
  <si>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</si>
  <si>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</si>
  <si>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</si>
  <si>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</si>
  <si>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</si>
  <si>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</si>
  <si>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</si>
  <si>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</si>
  <si>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</si>
  <si>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</si>
  <si>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</si>
  <si>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</si>
  <si>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</si>
  <si>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</si>
  <si>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</si>
  <si>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</si>
  <si>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</si>
  <si>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</si>
  <si>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</si>
  <si>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</si>
  <si>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</si>
  <si>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</si>
  <si>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</si>
  <si>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</si>
  <si>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</si>
  <si>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</si>
  <si>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</si>
  <si>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</si>
  <si>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</si>
  <si>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</si>
  <si>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</si>
  <si>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</si>
  <si>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</si>
  <si>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</si>
  <si>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</si>
  <si>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</si>
  <si>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</si>
  <si>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</si>
  <si>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</si>
  <si>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</si>
  <si>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</si>
  <si>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</si>
  <si>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</si>
  <si>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</si>
  <si>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</si>
  <si>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</si>
  <si>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</si>
  <si>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</si>
  <si>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</si>
  <si>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</si>
  <si>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</si>
  <si>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</si>
  <si>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</si>
  <si>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</si>
  <si>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</si>
  <si>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</si>
  <si>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</si>
  <si>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</si>
  <si>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</si>
  <si>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</si>
  <si>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</si>
  <si>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</si>
  <si>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</si>
  <si>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</si>
  <si>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</si>
  <si>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</si>
  <si>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</si>
  <si>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</si>
  <si>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</si>
  <si>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</si>
  <si>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</si>
  <si>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</si>
  <si>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</si>
  <si>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</si>
  <si>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</si>
  <si>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</si>
  <si>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</si>
  <si>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</si>
  <si>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</si>
  <si>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</si>
  <si>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</si>
  <si>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</si>
  <si>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</si>
  <si>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</si>
  <si>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</si>
  <si>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</si>
  <si>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</si>
  <si>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</si>
  <si>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</si>
  <si>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</si>
  <si>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</si>
  <si>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</si>
  <si>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</si>
  <si>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</si>
  <si>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</si>
  <si>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</si>
  <si>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</si>
  <si>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</si>
  <si>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</si>
  <si>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</si>
  <si>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</si>
  <si>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</si>
  <si>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</si>
  <si>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</si>
  <si>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</si>
  <si>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</si>
  <si>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</si>
  <si>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</si>
  <si>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</si>
  <si>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</si>
  <si>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</si>
  <si>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</si>
  <si>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</si>
  <si>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</si>
  <si>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</si>
  <si>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</si>
  <si>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</si>
  <si>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</si>
  <si>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</si>
  <si>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</si>
  <si>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</si>
  <si>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</si>
  <si>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</si>
  <si>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</si>
  <si>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</si>
  <si>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</si>
  <si>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</si>
  <si>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</si>
  <si>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</si>
  <si>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</si>
  <si>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</si>
  <si>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</si>
  <si>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</si>
  <si>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</si>
  <si>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</si>
  <si>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</si>
  <si>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</si>
  <si>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</si>
  <si>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</si>
  <si>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</si>
  <si>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</si>
  <si>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</si>
  <si>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</si>
  <si>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</si>
  <si>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</si>
  <si>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</si>
  <si>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</si>
  <si>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</si>
  <si>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</si>
  <si>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</si>
  <si>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</si>
  <si>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</si>
  <si>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</si>
  <si>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</si>
  <si>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</si>
  <si>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</si>
  <si>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</si>
  <si>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</si>
  <si>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</si>
  <si>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</si>
  <si>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</si>
  <si>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</si>
  <si>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</si>
  <si>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</si>
  <si>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</si>
  <si>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</si>
  <si>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</si>
  <si>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</si>
  <si>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</si>
  <si>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</si>
  <si>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</si>
  <si>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</si>
  <si>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</si>
  <si>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</si>
  <si>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</si>
  <si>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</si>
  <si>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</si>
  <si>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</si>
  <si>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</si>
  <si>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</si>
  <si>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</si>
  <si>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</si>
  <si>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</si>
  <si>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</si>
  <si>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</si>
  <si>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</si>
  <si>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</si>
  <si>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</si>
  <si>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</si>
  <si>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</si>
  <si>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</si>
  <si>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</si>
  <si>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</si>
  <si>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</si>
  <si>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</si>
  <si>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</si>
  <si>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</si>
  <si>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</si>
  <si>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</si>
  <si>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</si>
  <si>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</si>
  <si>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</si>
  <si>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</si>
  <si>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</si>
  <si>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</si>
  <si>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</si>
  <si>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</si>
  <si>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</si>
  <si>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</si>
  <si>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</si>
  <si>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</si>
  <si>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</si>
  <si>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</si>
  <si>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</si>
  <si>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</si>
  <si>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</si>
  <si>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</si>
  <si>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</si>
  <si>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</si>
  <si>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</si>
  <si>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</si>
  <si>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</si>
  <si>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</si>
  <si>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</si>
  <si>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</si>
  <si>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</si>
  <si>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</si>
  <si>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</si>
  <si>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</si>
  <si>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</si>
  <si>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</si>
  <si>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</si>
  <si>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</si>
  <si>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</si>
  <si>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</si>
  <si>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</si>
  <si>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</si>
  <si>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</si>
  <si>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</si>
  <si>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</si>
  <si>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</si>
  <si>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</si>
  <si>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</si>
  <si>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</si>
  <si>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</si>
  <si>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</si>
  <si>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</si>
  <si>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</si>
  <si>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</si>
  <si>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</si>
  <si>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</si>
  <si>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</si>
  <si>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</si>
  <si>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</si>
  <si>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</si>
  <si>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</si>
  <si>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</si>
  <si>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</si>
  <si>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</si>
  <si>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</si>
  <si>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</si>
  <si>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</si>
  <si>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</si>
  <si>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</si>
  <si>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</si>
  <si>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</si>
  <si>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</si>
  <si>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</si>
  <si>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</si>
  <si>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</si>
  <si>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</si>
  <si>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</si>
  <si>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</si>
  <si>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</si>
  <si>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</si>
  <si>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</si>
  <si>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</si>
  <si>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</si>
  <si>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</si>
  <si>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</si>
  <si>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</si>
  <si>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</si>
  <si>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</si>
  <si>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</si>
  <si>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</si>
  <si>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</si>
  <si>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</si>
  <si>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</si>
  <si>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</si>
  <si>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</si>
  <si>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</si>
  <si>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</si>
  <si>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</si>
  <si>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</si>
  <si>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</si>
  <si>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</si>
  <si>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</si>
  <si>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</si>
  <si>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</si>
  <si>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</si>
  <si>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</si>
  <si>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</si>
  <si>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</si>
  <si>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</si>
  <si>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</si>
  <si>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</si>
  <si>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</si>
  <si>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</si>
  <si>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</si>
  <si>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</si>
  <si>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</si>
  <si>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</si>
  <si>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</si>
  <si>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</si>
  <si>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</si>
  <si>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</si>
  <si>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</si>
  <si>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</si>
  <si>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</si>
  <si>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</si>
  <si>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</si>
  <si>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</si>
  <si>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</si>
  <si>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</si>
  <si>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</si>
  <si>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</si>
  <si>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</si>
  <si>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</si>
  <si>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</si>
  <si>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</si>
  <si>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</si>
  <si>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</si>
  <si>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</si>
  <si>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</si>
  <si>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</si>
  <si>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</si>
  <si>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</si>
  <si>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</si>
  <si>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</si>
  <si>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</si>
  <si>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</si>
  <si>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</si>
  <si>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</si>
  <si>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</si>
  <si>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</si>
  <si>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</si>
  <si>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</si>
  <si>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</si>
  <si>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</si>
  <si>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</si>
  <si>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</si>
  <si>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</si>
  <si>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</si>
  <si>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</si>
  <si>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</si>
  <si>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</si>
  <si>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</si>
  <si>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</si>
  <si>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</si>
  <si>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</si>
  <si>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</si>
  <si>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</si>
  <si>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</si>
  <si>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</si>
  <si>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</si>
  <si>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</si>
  <si>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</si>
  <si>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</si>
  <si>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</si>
  <si>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</si>
  <si>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</si>
  <si>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</si>
  <si>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</si>
  <si>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</si>
  <si>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</si>
  <si>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</si>
  <si>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</si>
  <si>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</si>
  <si>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</si>
  <si>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</si>
  <si>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</si>
  <si>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</si>
  <si>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</si>
  <si>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</si>
  <si>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</si>
  <si>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</si>
  <si>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</si>
  <si>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</si>
  <si>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</si>
  <si>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</si>
  <si>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</si>
  <si>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</si>
  <si>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</si>
  <si>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</si>
  <si>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</si>
  <si>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</si>
  <si>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</si>
  <si>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</si>
  <si>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</si>
  <si>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</si>
  <si>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</si>
  <si>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</si>
  <si>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</si>
  <si>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</si>
  <si>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</si>
  <si>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</si>
  <si>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</si>
  <si>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</si>
  <si>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</si>
  <si>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</si>
  <si>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</si>
  <si>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</si>
  <si>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</si>
  <si>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</si>
  <si>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</si>
  <si>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</si>
  <si>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</si>
  <si>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</si>
  <si>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</si>
  <si>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</si>
  <si>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</si>
  <si>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</si>
  <si>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</si>
  <si>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</si>
  <si>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</si>
  <si>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</si>
  <si>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</si>
  <si>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</si>
  <si>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</si>
  <si>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</si>
  <si>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</si>
  <si>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</si>
  <si>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</si>
  <si>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</si>
  <si>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</si>
  <si>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</si>
  <si>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</si>
  <si>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</si>
  <si>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</si>
  <si>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</si>
  <si>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</si>
  <si>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</si>
  <si>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</si>
  <si>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</si>
  <si>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</si>
  <si>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</si>
  <si>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</si>
  <si>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</si>
  <si>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</si>
  <si>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</si>
  <si>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</si>
  <si>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</si>
  <si>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</si>
  <si>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</si>
  <si>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</si>
  <si>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</si>
  <si>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</si>
  <si>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</si>
  <si>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</si>
  <si>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</si>
  <si>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</si>
  <si>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</si>
  <si>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</si>
  <si>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</si>
  <si>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</si>
  <si>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</si>
  <si>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</si>
  <si>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</si>
  <si>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</si>
  <si>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</si>
  <si>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</si>
  <si>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</si>
  <si>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</si>
  <si>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</si>
  <si>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</si>
  <si>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</si>
  <si>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</si>
  <si>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</si>
  <si>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</si>
  <si>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</si>
  <si>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</si>
  <si>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</si>
  <si>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</si>
  <si>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</si>
  <si>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</si>
  <si>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</si>
  <si>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</si>
  <si>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</si>
  <si>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</si>
  <si>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</si>
  <si>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</si>
  <si>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</si>
  <si>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</si>
  <si>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</si>
  <si>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</si>
  <si>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</si>
  <si>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</si>
  <si>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</si>
  <si>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</si>
  <si>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</si>
  <si>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</si>
  <si>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</si>
  <si>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</si>
  <si>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</si>
  <si>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</si>
  <si>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</si>
  <si>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</si>
  <si>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</si>
  <si>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</si>
  <si>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</si>
  <si>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</si>
  <si>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</si>
  <si>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</si>
  <si>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</si>
  <si>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</si>
  <si>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</si>
  <si>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</si>
  <si>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</si>
  <si>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</si>
  <si>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</si>
  <si>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</si>
  <si>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</si>
  <si>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</si>
  <si>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</si>
  <si>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</si>
  <si>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</si>
  <si>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</si>
  <si>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</si>
  <si>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</si>
  <si>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</si>
  <si>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</si>
  <si>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</si>
  <si>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</si>
  <si>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</si>
  <si>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</si>
  <si>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</si>
  <si>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</si>
  <si>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</si>
  <si>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</si>
  <si>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</si>
  <si>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</si>
  <si>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</si>
  <si>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</si>
  <si>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</si>
  <si>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</si>
  <si>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</si>
  <si>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</si>
  <si>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</si>
  <si>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</si>
  <si>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</si>
  <si>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</si>
  <si>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</si>
  <si>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</si>
  <si>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</si>
  <si>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</si>
  <si>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</si>
  <si>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</si>
  <si>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</si>
  <si>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</si>
  <si>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</si>
  <si>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</si>
  <si>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</si>
  <si>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</si>
  <si>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</si>
  <si>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</si>
  <si>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</si>
  <si>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</si>
  <si>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</si>
  <si>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</si>
  <si>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</si>
  <si>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</si>
  <si>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</si>
  <si>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</si>
  <si>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</si>
  <si>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</si>
  <si>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</si>
  <si>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</si>
  <si>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</si>
  <si>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</si>
  <si>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</si>
  <si>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</si>
  <si>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</si>
  <si>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</si>
  <si>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</si>
  <si>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</si>
  <si>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</si>
  <si>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</si>
  <si>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</si>
  <si>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</si>
  <si>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</si>
  <si>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</si>
  <si>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</si>
  <si>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</si>
  <si>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</si>
  <si>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</si>
  <si>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</si>
  <si>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</si>
  <si>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</si>
  <si>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</si>
  <si>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</si>
  <si>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</si>
  <si>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</si>
  <si>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</si>
  <si>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</si>
  <si>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</si>
  <si>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</si>
  <si>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</si>
  <si>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</si>
  <si>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</si>
  <si>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</si>
  <si>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</si>
  <si>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</si>
  <si>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</si>
  <si>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</si>
  <si>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</si>
  <si>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</si>
  <si>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</si>
  <si>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</si>
  <si>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</si>
  <si>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</si>
  <si>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</si>
  <si>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</si>
  <si>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</si>
  <si>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</si>
  <si>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</si>
  <si>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</si>
  <si>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</si>
  <si>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</si>
  <si>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</si>
  <si>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</si>
  <si>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</si>
  <si>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</si>
  <si>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</si>
  <si>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</si>
  <si>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</si>
  <si>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</si>
  <si>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</si>
  <si>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</si>
  <si>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</si>
  <si>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</si>
  <si>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</si>
  <si>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</si>
  <si>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</si>
  <si>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</si>
  <si>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</si>
  <si>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</si>
  <si>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</si>
  <si>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</si>
  <si>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</si>
  <si>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</si>
  <si>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</si>
  <si>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</si>
  <si>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</si>
  <si>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</si>
  <si>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</si>
  <si>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</si>
  <si>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</si>
  <si>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</si>
  <si>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</si>
  <si>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</si>
  <si>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</si>
  <si>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</si>
  <si>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</si>
  <si>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</si>
  <si>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</si>
  <si>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</si>
  <si>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</si>
  <si>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</si>
  <si>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</si>
  <si>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</si>
  <si>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</si>
  <si>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</si>
  <si>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</si>
  <si>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</si>
  <si>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</si>
  <si>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</si>
  <si>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</si>
  <si>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</si>
  <si>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</si>
  <si>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</si>
  <si>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</si>
  <si>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</si>
  <si>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</si>
  <si>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</si>
  <si>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</si>
  <si>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</si>
  <si>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</si>
  <si>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</si>
  <si>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</si>
  <si>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</si>
  <si>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</si>
  <si>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</si>
  <si>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</si>
  <si>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</si>
  <si>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</si>
  <si>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</si>
  <si>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</si>
  <si>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</si>
  <si>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</si>
  <si>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</si>
  <si>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</si>
  <si>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</si>
  <si>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</si>
  <si>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</si>
  <si>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</si>
  <si>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</si>
  <si>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</si>
  <si>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</si>
  <si>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</si>
  <si>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</si>
  <si>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</si>
  <si>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</si>
  <si>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</si>
  <si>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</si>
  <si>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</si>
  <si>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</si>
  <si>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</si>
  <si>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</si>
  <si>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</si>
  <si>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</si>
  <si>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</si>
  <si>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</si>
  <si>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</si>
  <si>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</si>
  <si>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</si>
  <si>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</si>
  <si>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</si>
  <si>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</si>
  <si>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</si>
  <si>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</si>
  <si>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</si>
  <si>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</si>
  <si>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</si>
  <si>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</si>
  <si>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</si>
  <si>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</si>
  <si>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</si>
  <si>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</si>
  <si>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</si>
  <si>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</si>
  <si>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</si>
  <si>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</si>
  <si>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</si>
  <si>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</si>
  <si>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</si>
  <si>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</si>
  <si>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</si>
  <si>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</si>
  <si>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</si>
  <si>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</si>
  <si>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</si>
  <si>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</si>
  <si>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</si>
  <si>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</si>
  <si>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</si>
  <si>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</si>
  <si>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</si>
  <si>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</si>
  <si>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</si>
  <si>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</si>
  <si>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</si>
  <si>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</si>
  <si>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</si>
  <si>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</si>
  <si>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</si>
  <si>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</si>
  <si>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</si>
  <si>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</si>
  <si>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</si>
  <si>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</si>
  <si>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</si>
  <si>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</si>
  <si>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</si>
  <si>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</si>
  <si>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</si>
  <si>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</si>
  <si>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</si>
  <si>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</si>
  <si>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</si>
  <si>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</si>
  <si>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</si>
  <si>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</si>
  <si>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</si>
  <si>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</si>
  <si>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</si>
  <si>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</si>
  <si>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</si>
  <si>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</si>
  <si>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</si>
  <si>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</si>
  <si>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</si>
  <si>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</si>
  <si>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</si>
  <si>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</si>
  <si>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</si>
  <si>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</si>
  <si>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</si>
  <si>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</si>
  <si>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</si>
  <si>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</si>
  <si>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</si>
  <si>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</si>
  <si>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</si>
  <si>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</si>
  <si>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</si>
  <si>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</si>
  <si>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</si>
  <si>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</si>
  <si>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</si>
  <si>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</si>
  <si>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</si>
  <si>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</si>
  <si>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</si>
  <si>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</si>
  <si>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</si>
  <si>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</si>
  <si>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</si>
  <si>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</si>
  <si>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</si>
  <si>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</si>
  <si>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</si>
  <si>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</si>
  <si>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</si>
  <si>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</si>
  <si>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</si>
  <si>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</si>
  <si>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</si>
  <si>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</si>
  <si>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</si>
  <si>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</si>
  <si>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</si>
  <si>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</si>
  <si>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</si>
  <si>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</si>
  <si>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</si>
  <si>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</si>
  <si>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</si>
  <si>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</si>
  <si>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</si>
  <si>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</si>
  <si>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</si>
  <si>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</si>
  <si>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</si>
  <si>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</si>
  <si>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</si>
  <si>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</si>
  <si>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</si>
  <si>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</si>
  <si>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</si>
  <si>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</si>
  <si>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</si>
  <si>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</si>
  <si>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</si>
  <si>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</si>
  <si>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</si>
  <si>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</si>
  <si>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</si>
  <si>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</si>
  <si>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</si>
  <si>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</si>
  <si>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</si>
  <si>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</si>
  <si>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</si>
  <si>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</si>
  <si>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</si>
  <si>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</si>
  <si>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</si>
  <si>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</si>
  <si>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</si>
  <si>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</si>
  <si>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</si>
  <si>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</si>
  <si>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</si>
  <si>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</si>
  <si>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</si>
  <si>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</si>
  <si>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</si>
  <si>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</si>
  <si>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</si>
  <si>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</si>
  <si>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</si>
  <si>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</si>
  <si>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</si>
  <si>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</si>
  <si>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</si>
  <si>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</si>
  <si>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</si>
  <si>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</si>
  <si>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</si>
  <si>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</si>
  <si>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</si>
  <si>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</si>
  <si>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</si>
  <si>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</si>
  <si>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</si>
  <si>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</si>
  <si>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</si>
  <si>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</si>
  <si>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</si>
  <si>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</si>
  <si>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</si>
  <si>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</si>
  <si>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</si>
  <si>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</si>
  <si>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</si>
  <si>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</si>
  <si>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</si>
  <si>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</si>
  <si>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</si>
  <si>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</si>
  <si>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</si>
  <si>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</si>
  <si>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</si>
  <si>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</si>
  <si>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</si>
  <si>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</si>
  <si>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</si>
  <si>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</si>
  <si>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</si>
  <si>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</si>
  <si>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</si>
  <si>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</si>
  <si>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</si>
  <si>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</si>
  <si>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</si>
  <si>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</si>
  <si>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</si>
  <si>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</si>
  <si>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</si>
  <si>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</si>
  <si>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</si>
  <si>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</si>
  <si>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</si>
  <si>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</si>
  <si>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</si>
  <si>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</si>
  <si>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</si>
  <si>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</si>
  <si>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</si>
  <si>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</si>
  <si>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</si>
  <si>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</si>
  <si>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</si>
  <si>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</si>
  <si>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</si>
  <si>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</si>
  <si>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</si>
  <si>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</si>
  <si>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</si>
  <si>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</si>
  <si>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</si>
  <si>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</si>
  <si>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</si>
  <si>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</si>
  <si>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</si>
  <si>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</si>
  <si>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</si>
  <si>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</si>
  <si>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</si>
  <si>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</si>
  <si>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</si>
  <si>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</si>
  <si>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</si>
  <si>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</si>
  <si>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</si>
  <si>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</si>
  <si>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</si>
  <si>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</si>
  <si>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</si>
  <si>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</si>
  <si>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</si>
  <si>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</si>
  <si>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</si>
  <si>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</si>
  <si>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</si>
  <si>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</si>
  <si>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</si>
  <si>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</si>
  <si>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</si>
  <si>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</si>
  <si>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</si>
  <si>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</si>
  <si>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</si>
  <si>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</si>
  <si>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</si>
  <si>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</si>
  <si>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</si>
  <si>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</si>
  <si>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</si>
  <si>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</si>
  <si>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</si>
  <si>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</si>
  <si>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</si>
  <si>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</si>
  <si>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</si>
  <si>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</si>
  <si>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</si>
  <si>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</si>
  <si>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</si>
  <si>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</si>
  <si>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</si>
  <si>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</si>
  <si>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</si>
  <si>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</si>
  <si>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</si>
  <si>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</si>
  <si>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</si>
  <si>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</si>
  <si>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</si>
  <si>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</si>
  <si>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</si>
  <si>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</si>
  <si>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</si>
  <si>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</si>
  <si>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</si>
  <si>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</si>
  <si>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</si>
  <si>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</si>
  <si>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</si>
  <si>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</si>
  <si>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</si>
  <si>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</si>
  <si>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</si>
  <si>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</si>
  <si>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</si>
  <si>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</si>
  <si>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</si>
  <si>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</si>
  <si>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</si>
  <si>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</si>
  <si>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</si>
  <si>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</si>
  <si>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</si>
  <si>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</si>
  <si>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</si>
  <si>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</si>
  <si>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</si>
  <si>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</si>
  <si>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</si>
  <si>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</si>
  <si>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</si>
  <si>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</si>
  <si>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</si>
  <si>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</si>
  <si>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</si>
  <si>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</si>
  <si>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</si>
  <si>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</si>
  <si>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</si>
  <si>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</si>
  <si>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</si>
  <si>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</si>
  <si>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</si>
  <si>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</si>
  <si>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</si>
  <si>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</si>
  <si>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</si>
  <si>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</si>
  <si>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</si>
  <si>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</si>
  <si>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</si>
  <si>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</si>
  <si>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</si>
  <si>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</si>
  <si>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</si>
  <si>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</si>
  <si>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</si>
  <si>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</si>
  <si>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</si>
  <si>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</si>
  <si>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</si>
  <si>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</si>
  <si>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</si>
  <si>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</si>
  <si>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</si>
  <si>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</si>
  <si>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</si>
  <si>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</si>
  <si>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</si>
  <si>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</si>
  <si>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</si>
  <si>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</si>
  <si>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</si>
  <si>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</si>
  <si>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</si>
  <si>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</si>
  <si>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</si>
  <si>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</si>
  <si>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</si>
  <si>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</si>
  <si>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</si>
  <si>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</si>
  <si>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</si>
  <si>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</si>
  <si>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</si>
  <si>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</si>
  <si>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</si>
  <si>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</si>
  <si>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</si>
  <si>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</si>
  <si>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</si>
  <si>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</si>
  <si>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</si>
  <si>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</si>
  <si>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</si>
  <si>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</si>
  <si>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</si>
  <si>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</si>
  <si>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</si>
  <si>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</si>
  <si>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</si>
  <si>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</si>
  <si>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</si>
  <si>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</si>
  <si>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</si>
  <si>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</si>
  <si>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</si>
  <si>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</si>
  <si>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</si>
  <si>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</si>
  <si>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</si>
  <si>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</si>
  <si>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</si>
  <si>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</si>
  <si>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</si>
  <si>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</si>
  <si>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</si>
  <si>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</si>
  <si>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</si>
  <si>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</si>
  <si>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</si>
  <si>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</si>
  <si>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</si>
  <si>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</si>
  <si>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</si>
  <si>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</si>
  <si>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</si>
  <si>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</si>
  <si>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</si>
  <si>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</si>
  <si>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</si>
  <si>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</si>
  <si>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</si>
  <si>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</si>
  <si>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</si>
  <si>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</si>
  <si>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</si>
  <si>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</si>
  <si>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</si>
  <si>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</si>
  <si>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</si>
  <si>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</si>
  <si>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</si>
  <si>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</si>
  <si>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</si>
  <si>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</si>
  <si>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</si>
  <si>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</si>
  <si>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</si>
  <si>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</si>
  <si>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</si>
  <si>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</si>
  <si>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</si>
  <si>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</si>
  <si>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</si>
  <si>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</si>
  <si>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</si>
  <si>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</si>
  <si>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</si>
  <si>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</si>
  <si>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</si>
  <si>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</si>
  <si>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</si>
  <si>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</si>
  <si>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</si>
  <si>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</si>
  <si>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</si>
  <si>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</si>
  <si>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</si>
  <si>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</si>
  <si>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</si>
  <si>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</si>
  <si>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</si>
  <si>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</si>
  <si>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</si>
  <si>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</si>
  <si>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</si>
  <si>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</si>
  <si>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</si>
  <si>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</si>
  <si>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</si>
  <si>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</si>
  <si>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</si>
  <si>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</si>
  <si>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</si>
  <si>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</si>
  <si>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</si>
  <si>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</si>
  <si>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</si>
  <si>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</si>
  <si>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</si>
  <si>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</si>
  <si>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</si>
  <si>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</si>
  <si>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</si>
  <si>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</si>
  <si>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</si>
  <si>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</si>
  <si>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</si>
  <si>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</si>
  <si>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</si>
  <si>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</si>
  <si>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</si>
  <si>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</si>
  <si>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</si>
  <si>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</si>
  <si>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</si>
  <si>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</si>
  <si>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</si>
  <si>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</si>
  <si>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</si>
  <si>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</si>
  <si>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</si>
  <si>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</si>
  <si>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</si>
  <si>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</si>
  <si>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</si>
  <si>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</si>
  <si>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</si>
  <si>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</si>
  <si>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</si>
  <si>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</si>
  <si>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</si>
  <si>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</si>
  <si>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</si>
  <si>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</si>
  <si>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</si>
  <si>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</si>
  <si>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</si>
  <si>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</si>
  <si>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</si>
  <si>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</si>
  <si>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</si>
  <si>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</si>
  <si>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</si>
  <si>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</si>
  <si>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</si>
  <si>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</si>
  <si>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</si>
  <si>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</si>
  <si>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</si>
  <si>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</si>
  <si>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</si>
  <si>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</si>
  <si>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</si>
  <si>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</si>
  <si>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</si>
  <si>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</si>
  <si>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</si>
  <si>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</si>
  <si>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</si>
  <si>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</si>
  <si>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</si>
  <si>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</si>
  <si>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</si>
  <si>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</si>
  <si>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</si>
  <si>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</si>
  <si>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</si>
  <si>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</si>
  <si>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</si>
  <si>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</si>
  <si>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</si>
  <si>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</si>
  <si>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</si>
  <si>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</si>
  <si>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</si>
  <si>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</si>
  <si>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</si>
  <si>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</si>
  <si>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</si>
  <si>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</si>
  <si>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</si>
  <si>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</si>
  <si>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</si>
  <si>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</si>
  <si>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</si>
  <si>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</si>
  <si>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</si>
  <si>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</si>
  <si>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</si>
  <si>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</si>
  <si>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</si>
  <si>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</si>
  <si>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</si>
  <si>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</si>
  <si>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</si>
  <si>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</si>
  <si>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</si>
  <si>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</si>
  <si>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</si>
  <si>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</si>
  <si>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</si>
  <si>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</si>
  <si>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</si>
  <si>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</si>
  <si>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</si>
  <si>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</si>
  <si>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</si>
  <si>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</si>
  <si>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</si>
  <si>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</si>
  <si>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</si>
  <si>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</si>
  <si>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</si>
  <si>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</si>
  <si>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</si>
  <si>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</si>
  <si>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</si>
  <si>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</si>
  <si>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</si>
  <si>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</si>
  <si>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</si>
  <si>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</si>
  <si>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</si>
  <si>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</si>
  <si>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</si>
  <si>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</si>
  <si>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</si>
  <si>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</si>
  <si>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</si>
  <si>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</si>
  <si>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</si>
  <si>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</si>
  <si>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</si>
  <si>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</si>
  <si>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</si>
  <si>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</si>
  <si>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</si>
  <si>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</si>
  <si>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</si>
  <si>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</si>
  <si>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</si>
  <si>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</si>
  <si>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</si>
  <si>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</si>
  <si>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</si>
  <si>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</si>
  <si>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</si>
  <si>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</si>
  <si>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</si>
  <si>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</si>
  <si>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</si>
  <si>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</si>
  <si>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</si>
  <si>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</si>
  <si>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</si>
  <si>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</si>
  <si>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</si>
  <si>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</si>
  <si>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</si>
  <si>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</si>
  <si>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</si>
  <si>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</si>
  <si>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</si>
  <si>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</si>
  <si>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</si>
  <si>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</si>
  <si>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</si>
  <si>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</si>
  <si>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</si>
  <si>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</si>
  <si>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</si>
  <si>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</si>
  <si>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</si>
  <si>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</si>
  <si>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</si>
  <si>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</si>
  <si>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</si>
  <si>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</si>
  <si>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</si>
  <si>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</si>
  <si>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</si>
  <si>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</si>
  <si>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</si>
  <si>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</si>
  <si>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</si>
  <si>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</si>
  <si>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</si>
  <si>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</si>
  <si>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</si>
  <si>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</si>
  <si>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</si>
  <si>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</si>
  <si>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</si>
  <si>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</si>
  <si>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</si>
  <si>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</si>
  <si>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</si>
  <si>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</si>
  <si>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</si>
  <si>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</si>
  <si>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</si>
  <si>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</si>
  <si>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</si>
  <si>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</si>
  <si>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</si>
  <si>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</si>
  <si>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</si>
  <si>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</si>
  <si>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</si>
  <si>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</si>
  <si>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</si>
  <si>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</si>
  <si>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</si>
  <si>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</si>
  <si>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</si>
  <si>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</si>
  <si>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</si>
  <si>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</si>
  <si>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</si>
  <si>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</si>
  <si>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</si>
  <si>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</si>
  <si>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</si>
  <si>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</si>
  <si>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</si>
  <si>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</si>
  <si>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</si>
  <si>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</si>
  <si>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</si>
  <si>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</si>
  <si>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</si>
  <si>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</si>
  <si>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</si>
  <si>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</si>
  <si>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</si>
  <si>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</si>
  <si>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</si>
  <si>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</si>
  <si>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</si>
  <si>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</si>
  <si>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</si>
  <si>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</si>
  <si>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</si>
  <si>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</si>
  <si>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</si>
  <si>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</si>
  <si>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</si>
  <si>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</si>
  <si>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</si>
  <si>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</si>
  <si>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</si>
  <si>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</si>
  <si>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</si>
  <si>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</si>
  <si>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</si>
  <si>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</si>
  <si>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</si>
  <si>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</si>
  <si>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</si>
  <si>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</si>
  <si>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</si>
  <si>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</si>
  <si>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</si>
  <si>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</si>
  <si>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</si>
  <si>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</si>
  <si>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</si>
  <si>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</si>
  <si>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</si>
  <si>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</si>
  <si>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</si>
  <si>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</si>
  <si>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</si>
  <si>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</si>
  <si>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</si>
  <si>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</si>
  <si>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MUNICIPAL DE AGUA POTABLE Y ALCANTARILLADO DE CORTAZAR, GTO.</t>
  </si>
  <si>
    <t>Al 31 de diciembre de 2018 y al 30 de septiembre de 2019 (b)</t>
  </si>
  <si>
    <t>Del 1 de enero al 30 de septiembre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</si>
</sst>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0" fillId="0" borderId="13" xfId="1" applyFont="1" applyFill="1" applyBorder="1" applyProtection="1">
      <protection locked="0"/>
    </xf>
    <xf numFmtId="43" fontId="6" fillId="0" borderId="13" xfId="1" applyFont="1" applyFill="1" applyBorder="1" applyProtection="1"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3" fontId="16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" fontId="17" fillId="0" borderId="13" xfId="0" applyNumberFormat="1" applyFont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5" t="s">
        <v>829</v>
      </c>
      <c r="B1" s="166"/>
      <c r="C1" s="166"/>
      <c r="D1" s="166"/>
      <c r="E1" s="167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68" t="s">
        <v>3302</v>
      </c>
      <c r="D3" s="168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61" workbookViewId="0">
      <selection activeCell="B14" sqref="B14:D15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81" t="s">
        <v>542</v>
      </c>
      <c r="B1" s="181"/>
      <c r="C1" s="181"/>
      <c r="D1" s="181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1"/>
    </row>
    <row r="3" spans="1:11" ht="14.25" x14ac:dyDescent="0.45">
      <c r="A3" s="172" t="s">
        <v>166</v>
      </c>
      <c r="B3" s="173"/>
      <c r="C3" s="173"/>
      <c r="D3" s="174"/>
    </row>
    <row r="4" spans="1:11" ht="14.25" x14ac:dyDescent="0.45">
      <c r="A4" s="175" t="str">
        <f>TRIMESTRE</f>
        <v>Del 1 de enero al 30 de septiembre de 2019 (b)</v>
      </c>
      <c r="B4" s="176"/>
      <c r="C4" s="176"/>
      <c r="D4" s="177"/>
    </row>
    <row r="5" spans="1:11" ht="14.25" x14ac:dyDescent="0.45">
      <c r="A5" s="178" t="s">
        <v>118</v>
      </c>
      <c r="B5" s="179"/>
      <c r="C5" s="179"/>
      <c r="D5" s="180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59093260.469999999</v>
      </c>
      <c r="C8" s="40">
        <f t="shared" ref="C8:D8" si="0">SUM(C9:C11)</f>
        <v>46917622.039999999</v>
      </c>
      <c r="D8" s="40">
        <f t="shared" si="0"/>
        <v>46917622.039999999</v>
      </c>
    </row>
    <row r="9" spans="1:11" x14ac:dyDescent="0.25">
      <c r="A9" s="53" t="s">
        <v>169</v>
      </c>
      <c r="B9" s="151">
        <v>59093260.469999999</v>
      </c>
      <c r="C9" s="151">
        <v>46917622.039999999</v>
      </c>
      <c r="D9" s="151">
        <v>46917622.039999999</v>
      </c>
    </row>
    <row r="10" spans="1:11" x14ac:dyDescent="0.25">
      <c r="A10" s="53" t="s">
        <v>170</v>
      </c>
      <c r="B10" s="151">
        <v>0</v>
      </c>
      <c r="C10" s="151">
        <v>0</v>
      </c>
      <c r="D10" s="151">
        <v>0</v>
      </c>
    </row>
    <row r="11" spans="1:11" x14ac:dyDescent="0.25">
      <c r="A11" s="53" t="s">
        <v>171</v>
      </c>
      <c r="B11" s="152"/>
      <c r="C11" s="152"/>
      <c r="D11" s="152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62406668.469999999</v>
      </c>
      <c r="C13" s="40">
        <f t="shared" ref="C13:D13" si="1">C14+C15</f>
        <v>44724666.850000001</v>
      </c>
      <c r="D13" s="40">
        <f t="shared" si="1"/>
        <v>40775466.390000001</v>
      </c>
    </row>
    <row r="14" spans="1:11" x14ac:dyDescent="0.25">
      <c r="A14" s="53" t="s">
        <v>172</v>
      </c>
      <c r="B14" s="151">
        <v>62406668.469999999</v>
      </c>
      <c r="C14" s="151">
        <v>44724666.850000001</v>
      </c>
      <c r="D14" s="151">
        <v>40775466.390000001</v>
      </c>
    </row>
    <row r="15" spans="1:11" x14ac:dyDescent="0.25">
      <c r="A15" s="53" t="s">
        <v>173</v>
      </c>
      <c r="B15" s="151">
        <v>0</v>
      </c>
      <c r="C15" s="151">
        <v>0</v>
      </c>
      <c r="D15" s="151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7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8">
        <v>0</v>
      </c>
      <c r="C18" s="151">
        <v>0</v>
      </c>
      <c r="D18" s="151">
        <v>0</v>
      </c>
    </row>
    <row r="19" spans="1:4" x14ac:dyDescent="0.25">
      <c r="A19" s="53" t="s">
        <v>176</v>
      </c>
      <c r="B19" s="118">
        <v>0</v>
      </c>
      <c r="C19" s="151">
        <v>0</v>
      </c>
      <c r="D19" s="153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-3313408</v>
      </c>
      <c r="C21" s="40">
        <f t="shared" ref="C21:D21" si="3">C8-C13+C17</f>
        <v>2192955.1899999976</v>
      </c>
      <c r="D21" s="40">
        <f t="shared" si="3"/>
        <v>6142155.6499999985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-3313408</v>
      </c>
      <c r="C23" s="40">
        <f t="shared" ref="C23:D23" si="4">C21-C11</f>
        <v>2192955.1899999976</v>
      </c>
      <c r="D23" s="40">
        <f t="shared" si="4"/>
        <v>6142155.6499999985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19" t="s">
        <v>179</v>
      </c>
      <c r="B25" s="40">
        <f>B23-B17</f>
        <v>-3313408</v>
      </c>
      <c r="C25" s="40">
        <f t="shared" ref="C25" si="5">C23-C17</f>
        <v>2192955.1899999976</v>
      </c>
      <c r="D25" s="40">
        <f>D23-D17</f>
        <v>6142155.6499999985</v>
      </c>
    </row>
    <row r="26" spans="1:4" x14ac:dyDescent="0.25">
      <c r="A26" s="120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154">
        <v>0</v>
      </c>
      <c r="C30" s="154">
        <v>0</v>
      </c>
      <c r="D30" s="154">
        <v>0</v>
      </c>
    </row>
    <row r="31" spans="1:4" x14ac:dyDescent="0.25">
      <c r="A31" s="53" t="s">
        <v>188</v>
      </c>
      <c r="B31" s="154">
        <v>0</v>
      </c>
      <c r="C31" s="154">
        <v>0</v>
      </c>
      <c r="D31" s="154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-3313408</v>
      </c>
      <c r="C33" s="61">
        <f t="shared" ref="C33:D33" si="7">C25+C29</f>
        <v>2192955.1899999976</v>
      </c>
      <c r="D33" s="61">
        <f t="shared" si="7"/>
        <v>6142155.6499999985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155"/>
      <c r="C38" s="155"/>
      <c r="D38" s="155"/>
    </row>
    <row r="39" spans="1:4" x14ac:dyDescent="0.25">
      <c r="A39" s="53" t="s">
        <v>193</v>
      </c>
      <c r="B39" s="155"/>
      <c r="C39" s="155"/>
      <c r="D39" s="155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154">
        <v>0</v>
      </c>
      <c r="C41" s="154">
        <v>0</v>
      </c>
      <c r="D41" s="154">
        <v>0</v>
      </c>
    </row>
    <row r="42" spans="1:4" x14ac:dyDescent="0.25">
      <c r="A42" s="53" t="s">
        <v>196</v>
      </c>
      <c r="B42" s="154">
        <v>0</v>
      </c>
      <c r="C42" s="154">
        <v>0</v>
      </c>
      <c r="D42" s="154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23">
        <f>B9</f>
        <v>59093260.469999999</v>
      </c>
      <c r="C48" s="123">
        <f>C9</f>
        <v>46917622.039999999</v>
      </c>
      <c r="D48" s="123">
        <f t="shared" ref="D48" si="11">D9</f>
        <v>46917622.039999999</v>
      </c>
    </row>
    <row r="49" spans="1:4" x14ac:dyDescent="0.25">
      <c r="A49" s="126" t="s">
        <v>199</v>
      </c>
      <c r="B49" s="156">
        <f>B50-B51</f>
        <v>0</v>
      </c>
      <c r="C49" s="156">
        <f>C50-C51</f>
        <v>0</v>
      </c>
      <c r="D49" s="156">
        <f>D50-D51</f>
        <v>0</v>
      </c>
    </row>
    <row r="50" spans="1:4" x14ac:dyDescent="0.25">
      <c r="A50" s="127" t="s">
        <v>192</v>
      </c>
      <c r="B50" s="155"/>
      <c r="C50" s="155"/>
      <c r="D50" s="155"/>
    </row>
    <row r="51" spans="1:4" x14ac:dyDescent="0.25">
      <c r="A51" s="127" t="s">
        <v>195</v>
      </c>
      <c r="B51" s="154">
        <v>0</v>
      </c>
      <c r="C51" s="154">
        <v>0</v>
      </c>
      <c r="D51" s="154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62406668.469999999</v>
      </c>
      <c r="C53" s="60">
        <f t="shared" ref="C53:D53" si="12">C14</f>
        <v>44724666.850000001</v>
      </c>
      <c r="D53" s="60">
        <f t="shared" si="12"/>
        <v>40775466.390000001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3">C18</f>
        <v>0</v>
      </c>
      <c r="D55" s="60">
        <f t="shared" si="13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-3313408</v>
      </c>
      <c r="C57" s="61">
        <f>C48+C49-C53+C55</f>
        <v>2192955.1899999976</v>
      </c>
      <c r="D57" s="61">
        <f t="shared" ref="D57" si="14">D48+D49-D53+D55</f>
        <v>6142155.6499999985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-3313408</v>
      </c>
      <c r="C59" s="61">
        <f t="shared" ref="C59:D59" si="15">C57-C49</f>
        <v>2192955.1899999976</v>
      </c>
      <c r="D59" s="61">
        <f t="shared" si="15"/>
        <v>6142155.6499999985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1">
        <f>B10</f>
        <v>0</v>
      </c>
      <c r="C63" s="121">
        <f t="shared" ref="C63:D63" si="16">C10</f>
        <v>0</v>
      </c>
      <c r="D63" s="121">
        <f t="shared" si="16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7">C65-C66</f>
        <v>0</v>
      </c>
      <c r="D64" s="40">
        <f t="shared" si="17"/>
        <v>0</v>
      </c>
    </row>
    <row r="65" spans="1:4" x14ac:dyDescent="0.25">
      <c r="A65" s="127" t="s">
        <v>193</v>
      </c>
      <c r="B65" s="152"/>
      <c r="C65" s="152"/>
      <c r="D65" s="152"/>
    </row>
    <row r="66" spans="1:4" x14ac:dyDescent="0.25">
      <c r="A66" s="127" t="s">
        <v>196</v>
      </c>
      <c r="B66" s="151">
        <v>0</v>
      </c>
      <c r="C66" s="151">
        <v>0</v>
      </c>
      <c r="D66" s="151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151">
        <v>0</v>
      </c>
      <c r="C68" s="151">
        <v>0</v>
      </c>
      <c r="D68" s="151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18">C19</f>
        <v>0</v>
      </c>
      <c r="D70" s="23">
        <f t="shared" si="18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19">C63+C64-C68+C70</f>
        <v>0</v>
      </c>
      <c r="D72" s="40">
        <f t="shared" si="19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0</v>
      </c>
      <c r="D74" s="40">
        <f t="shared" ref="D74" si="20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59093260.469999999</v>
      </c>
      <c r="Q2" s="18">
        <f>'Formato 4'!C8</f>
        <v>46917622.039999999</v>
      </c>
      <c r="R2" s="18">
        <f>'Formato 4'!D8</f>
        <v>46917622.039999999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59093260.469999999</v>
      </c>
      <c r="Q3" s="18">
        <f>'Formato 4'!C9</f>
        <v>46917622.039999999</v>
      </c>
      <c r="R3" s="18">
        <f>'Formato 4'!D9</f>
        <v>46917622.039999999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62406668.469999999</v>
      </c>
      <c r="Q6" s="18">
        <f>'Formato 4'!C13</f>
        <v>44724666.850000001</v>
      </c>
      <c r="R6" s="18">
        <f>'Formato 4'!D13</f>
        <v>40775466.390000001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62406668.469999999</v>
      </c>
      <c r="Q7" s="18">
        <f>'Formato 4'!C14</f>
        <v>44724666.850000001</v>
      </c>
      <c r="R7" s="18">
        <f>'Formato 4'!D14</f>
        <v>40775466.390000001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-3313408</v>
      </c>
      <c r="Q12" s="18">
        <f>'Formato 4'!C21</f>
        <v>2192955.1899999976</v>
      </c>
      <c r="R12" s="18">
        <f>'Formato 4'!D21</f>
        <v>6142155.6499999985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-3313408</v>
      </c>
      <c r="Q13" s="18">
        <f>'Formato 4'!C23</f>
        <v>2192955.1899999976</v>
      </c>
      <c r="R13" s="18">
        <f>'Formato 4'!D23</f>
        <v>6142155.6499999985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-3313408</v>
      </c>
      <c r="Q14" s="18">
        <f>'Formato 4'!C25</f>
        <v>2192955.1899999976</v>
      </c>
      <c r="R14" s="18">
        <f>'Formato 4'!D25</f>
        <v>6142155.6499999985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-3313408</v>
      </c>
      <c r="Q18">
        <f>'Formato 4'!C33</f>
        <v>2192955.1899999976</v>
      </c>
      <c r="R18">
        <f>'Formato 4'!D33</f>
        <v>6142155.6499999985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59093260.469999999</v>
      </c>
      <c r="Q26">
        <f>'Formato 4'!C48</f>
        <v>46917622.039999999</v>
      </c>
      <c r="R26">
        <f>'Formato 4'!D48</f>
        <v>46917622.039999999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62406668.469999999</v>
      </c>
      <c r="Q30">
        <f>'Formato 4'!C53</f>
        <v>44724666.850000001</v>
      </c>
      <c r="R30">
        <f>'Formato 4'!D53</f>
        <v>40775466.390000001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49" zoomScale="85" zoomScaleNormal="85" workbookViewId="0">
      <selection activeCell="B37" sqref="B3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87" t="s">
        <v>206</v>
      </c>
      <c r="B1" s="187"/>
      <c r="C1" s="187"/>
      <c r="D1" s="187"/>
      <c r="E1" s="187"/>
      <c r="F1" s="187"/>
      <c r="G1" s="187"/>
    </row>
    <row r="2" spans="1:8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8" x14ac:dyDescent="0.25">
      <c r="A3" s="172" t="s">
        <v>207</v>
      </c>
      <c r="B3" s="173"/>
      <c r="C3" s="173"/>
      <c r="D3" s="173"/>
      <c r="E3" s="173"/>
      <c r="F3" s="173"/>
      <c r="G3" s="174"/>
    </row>
    <row r="4" spans="1:8" ht="14.25" x14ac:dyDescent="0.45">
      <c r="A4" s="175" t="str">
        <f>TRIMESTRE</f>
        <v>Del 1 de enero al 30 de septiembre de 2019 (b)</v>
      </c>
      <c r="B4" s="176"/>
      <c r="C4" s="176"/>
      <c r="D4" s="176"/>
      <c r="E4" s="176"/>
      <c r="F4" s="176"/>
      <c r="G4" s="177"/>
    </row>
    <row r="5" spans="1:8" ht="14.25" x14ac:dyDescent="0.45">
      <c r="A5" s="178" t="s">
        <v>118</v>
      </c>
      <c r="B5" s="179"/>
      <c r="C5" s="179"/>
      <c r="D5" s="179"/>
      <c r="E5" s="179"/>
      <c r="F5" s="179"/>
      <c r="G5" s="180"/>
    </row>
    <row r="6" spans="1:8" x14ac:dyDescent="0.25">
      <c r="A6" s="184" t="s">
        <v>214</v>
      </c>
      <c r="B6" s="186" t="s">
        <v>208</v>
      </c>
      <c r="C6" s="186"/>
      <c r="D6" s="186"/>
      <c r="E6" s="186"/>
      <c r="F6" s="186"/>
      <c r="G6" s="186" t="s">
        <v>209</v>
      </c>
    </row>
    <row r="7" spans="1:8" ht="30" x14ac:dyDescent="0.25">
      <c r="A7" s="185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6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4">
        <v>0</v>
      </c>
      <c r="C9" s="154">
        <v>0</v>
      </c>
      <c r="D9" s="155">
        <f>B9+C9</f>
        <v>0</v>
      </c>
      <c r="E9" s="154">
        <v>0</v>
      </c>
      <c r="F9" s="154">
        <v>0</v>
      </c>
      <c r="G9" s="155">
        <f>F9-B9</f>
        <v>0</v>
      </c>
      <c r="H9" s="8"/>
    </row>
    <row r="10" spans="1:8" x14ac:dyDescent="0.25">
      <c r="A10" s="53" t="s">
        <v>217</v>
      </c>
      <c r="B10" s="154">
        <v>0</v>
      </c>
      <c r="C10" s="154">
        <v>0</v>
      </c>
      <c r="D10" s="155">
        <f t="shared" ref="D10:D15" si="0">B10+C10</f>
        <v>0</v>
      </c>
      <c r="E10" s="154">
        <v>0</v>
      </c>
      <c r="F10" s="154">
        <v>0</v>
      </c>
      <c r="G10" s="155">
        <f t="shared" ref="G10:G15" si="1">F10-B10</f>
        <v>0</v>
      </c>
    </row>
    <row r="11" spans="1:8" x14ac:dyDescent="0.25">
      <c r="A11" s="53" t="s">
        <v>218</v>
      </c>
      <c r="B11" s="154">
        <v>0</v>
      </c>
      <c r="C11" s="154">
        <v>0</v>
      </c>
      <c r="D11" s="155">
        <f t="shared" si="0"/>
        <v>0</v>
      </c>
      <c r="E11" s="154">
        <v>0</v>
      </c>
      <c r="F11" s="154">
        <v>0</v>
      </c>
      <c r="G11" s="155">
        <f t="shared" si="1"/>
        <v>0</v>
      </c>
    </row>
    <row r="12" spans="1:8" x14ac:dyDescent="0.25">
      <c r="A12" s="53" t="s">
        <v>219</v>
      </c>
      <c r="B12" s="154">
        <v>58668736.469999999</v>
      </c>
      <c r="C12" s="154">
        <v>0</v>
      </c>
      <c r="D12" s="155">
        <f t="shared" si="0"/>
        <v>58668736.469999999</v>
      </c>
      <c r="E12" s="154">
        <v>46623658.07</v>
      </c>
      <c r="F12" s="154">
        <v>46623658.07</v>
      </c>
      <c r="G12" s="155">
        <f t="shared" si="1"/>
        <v>-12045078.399999999</v>
      </c>
    </row>
    <row r="13" spans="1:8" x14ac:dyDescent="0.25">
      <c r="A13" s="53" t="s">
        <v>220</v>
      </c>
      <c r="B13" s="154">
        <v>124524</v>
      </c>
      <c r="C13" s="154">
        <v>0</v>
      </c>
      <c r="D13" s="155">
        <f t="shared" si="0"/>
        <v>124524</v>
      </c>
      <c r="E13" s="154">
        <v>173560.44</v>
      </c>
      <c r="F13" s="154">
        <v>173560.44</v>
      </c>
      <c r="G13" s="155">
        <f t="shared" si="1"/>
        <v>49036.44</v>
      </c>
    </row>
    <row r="14" spans="1:8" x14ac:dyDescent="0.25">
      <c r="A14" s="53" t="s">
        <v>221</v>
      </c>
      <c r="B14" s="154">
        <v>300000</v>
      </c>
      <c r="C14" s="154">
        <v>0</v>
      </c>
      <c r="D14" s="155">
        <f t="shared" si="0"/>
        <v>300000</v>
      </c>
      <c r="E14" s="154">
        <v>120403.53</v>
      </c>
      <c r="F14" s="154">
        <v>120403.53</v>
      </c>
      <c r="G14" s="155">
        <f t="shared" si="1"/>
        <v>-179596.47</v>
      </c>
    </row>
    <row r="15" spans="1:8" x14ac:dyDescent="0.25">
      <c r="A15" s="53" t="s">
        <v>222</v>
      </c>
      <c r="B15" s="154">
        <v>0</v>
      </c>
      <c r="C15" s="154">
        <v>0</v>
      </c>
      <c r="D15" s="155">
        <f t="shared" si="0"/>
        <v>0</v>
      </c>
      <c r="E15" s="154">
        <v>0</v>
      </c>
      <c r="F15" s="154">
        <v>0</v>
      </c>
      <c r="G15" s="155">
        <f t="shared" si="1"/>
        <v>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x14ac:dyDescent="0.25">
      <c r="A17" s="63" t="s">
        <v>223</v>
      </c>
      <c r="B17" s="154">
        <v>0</v>
      </c>
      <c r="C17" s="154">
        <v>0</v>
      </c>
      <c r="D17" s="155">
        <f t="shared" ref="D17:D27" si="3">B17+C17</f>
        <v>0</v>
      </c>
      <c r="E17" s="154">
        <v>0</v>
      </c>
      <c r="F17" s="154">
        <v>0</v>
      </c>
      <c r="G17" s="155">
        <f t="shared" ref="G17:G27" si="4">F17-B17</f>
        <v>0</v>
      </c>
    </row>
    <row r="18" spans="1:7" x14ac:dyDescent="0.25">
      <c r="A18" s="63" t="s">
        <v>224</v>
      </c>
      <c r="B18" s="155"/>
      <c r="C18" s="155"/>
      <c r="D18" s="155">
        <f t="shared" si="3"/>
        <v>0</v>
      </c>
      <c r="E18" s="155"/>
      <c r="F18" s="155"/>
      <c r="G18" s="155">
        <f t="shared" si="4"/>
        <v>0</v>
      </c>
    </row>
    <row r="19" spans="1:7" x14ac:dyDescent="0.25">
      <c r="A19" s="63" t="s">
        <v>225</v>
      </c>
      <c r="B19" s="155"/>
      <c r="C19" s="155"/>
      <c r="D19" s="155">
        <f t="shared" si="3"/>
        <v>0</v>
      </c>
      <c r="E19" s="155"/>
      <c r="F19" s="155"/>
      <c r="G19" s="155">
        <f t="shared" si="4"/>
        <v>0</v>
      </c>
    </row>
    <row r="20" spans="1:7" x14ac:dyDescent="0.25">
      <c r="A20" s="63" t="s">
        <v>226</v>
      </c>
      <c r="B20" s="155"/>
      <c r="C20" s="155"/>
      <c r="D20" s="155">
        <f t="shared" si="3"/>
        <v>0</v>
      </c>
      <c r="E20" s="155"/>
      <c r="F20" s="155"/>
      <c r="G20" s="155">
        <f t="shared" si="4"/>
        <v>0</v>
      </c>
    </row>
    <row r="21" spans="1:7" x14ac:dyDescent="0.25">
      <c r="A21" s="63" t="s">
        <v>227</v>
      </c>
      <c r="B21" s="155"/>
      <c r="C21" s="155"/>
      <c r="D21" s="155">
        <f t="shared" si="3"/>
        <v>0</v>
      </c>
      <c r="E21" s="155"/>
      <c r="F21" s="155"/>
      <c r="G21" s="155">
        <f t="shared" si="4"/>
        <v>0</v>
      </c>
    </row>
    <row r="22" spans="1:7" x14ac:dyDescent="0.25">
      <c r="A22" s="63" t="s">
        <v>228</v>
      </c>
      <c r="B22" s="155"/>
      <c r="C22" s="155"/>
      <c r="D22" s="155">
        <f t="shared" si="3"/>
        <v>0</v>
      </c>
      <c r="E22" s="155"/>
      <c r="F22" s="155"/>
      <c r="G22" s="155">
        <f t="shared" si="4"/>
        <v>0</v>
      </c>
    </row>
    <row r="23" spans="1:7" x14ac:dyDescent="0.25">
      <c r="A23" s="63" t="s">
        <v>229</v>
      </c>
      <c r="B23" s="155"/>
      <c r="C23" s="155"/>
      <c r="D23" s="155">
        <f t="shared" si="3"/>
        <v>0</v>
      </c>
      <c r="E23" s="155"/>
      <c r="F23" s="155"/>
      <c r="G23" s="155">
        <f t="shared" si="4"/>
        <v>0</v>
      </c>
    </row>
    <row r="24" spans="1:7" x14ac:dyDescent="0.25">
      <c r="A24" s="63" t="s">
        <v>230</v>
      </c>
      <c r="B24" s="155"/>
      <c r="C24" s="155"/>
      <c r="D24" s="155">
        <f t="shared" si="3"/>
        <v>0</v>
      </c>
      <c r="E24" s="155"/>
      <c r="F24" s="155"/>
      <c r="G24" s="155">
        <f t="shared" si="4"/>
        <v>0</v>
      </c>
    </row>
    <row r="25" spans="1:7" x14ac:dyDescent="0.25">
      <c r="A25" s="63" t="s">
        <v>231</v>
      </c>
      <c r="B25" s="155"/>
      <c r="C25" s="155"/>
      <c r="D25" s="155">
        <f t="shared" si="3"/>
        <v>0</v>
      </c>
      <c r="E25" s="155"/>
      <c r="F25" s="155"/>
      <c r="G25" s="155">
        <f t="shared" si="4"/>
        <v>0</v>
      </c>
    </row>
    <row r="26" spans="1:7" x14ac:dyDescent="0.25">
      <c r="A26" s="63" t="s">
        <v>232</v>
      </c>
      <c r="B26" s="155"/>
      <c r="C26" s="155"/>
      <c r="D26" s="155">
        <f t="shared" si="3"/>
        <v>0</v>
      </c>
      <c r="E26" s="155"/>
      <c r="F26" s="155"/>
      <c r="G26" s="155">
        <f t="shared" si="4"/>
        <v>0</v>
      </c>
    </row>
    <row r="27" spans="1:7" x14ac:dyDescent="0.25">
      <c r="A27" s="63" t="s">
        <v>233</v>
      </c>
      <c r="B27" s="155"/>
      <c r="C27" s="155"/>
      <c r="D27" s="155">
        <f t="shared" si="3"/>
        <v>0</v>
      </c>
      <c r="E27" s="155"/>
      <c r="F27" s="155"/>
      <c r="G27" s="155">
        <f t="shared" si="4"/>
        <v>0</v>
      </c>
    </row>
    <row r="28" spans="1:7" x14ac:dyDescent="0.25">
      <c r="A28" s="53" t="s">
        <v>234</v>
      </c>
      <c r="B28" s="60">
        <f>SUM(B29:B33)</f>
        <v>1200000</v>
      </c>
      <c r="C28" s="60">
        <f t="shared" ref="C28:G28" si="5">SUM(C29:C33)</f>
        <v>0</v>
      </c>
      <c r="D28" s="60">
        <f t="shared" si="5"/>
        <v>1200000</v>
      </c>
      <c r="E28" s="60">
        <f t="shared" si="5"/>
        <v>834376.91</v>
      </c>
      <c r="F28" s="60">
        <f t="shared" si="5"/>
        <v>834376.91</v>
      </c>
      <c r="G28" s="60">
        <f t="shared" si="5"/>
        <v>-365623.08999999997</v>
      </c>
    </row>
    <row r="29" spans="1:7" x14ac:dyDescent="0.25">
      <c r="A29" s="63" t="s">
        <v>235</v>
      </c>
      <c r="B29" s="154">
        <v>1200000</v>
      </c>
      <c r="C29" s="154">
        <v>0</v>
      </c>
      <c r="D29" s="155">
        <f t="shared" ref="D29:D33" si="6">B29+C29</f>
        <v>1200000</v>
      </c>
      <c r="E29" s="154">
        <v>834376.91</v>
      </c>
      <c r="F29" s="154">
        <v>834376.91</v>
      </c>
      <c r="G29" s="155">
        <f t="shared" ref="G29:G33" si="7">F29-B29</f>
        <v>-365623.08999999997</v>
      </c>
    </row>
    <row r="30" spans="1:7" x14ac:dyDescent="0.25">
      <c r="A30" s="63" t="s">
        <v>236</v>
      </c>
      <c r="B30" s="155"/>
      <c r="C30" s="155"/>
      <c r="D30" s="155">
        <f t="shared" si="6"/>
        <v>0</v>
      </c>
      <c r="E30" s="155"/>
      <c r="F30" s="155"/>
      <c r="G30" s="155">
        <f t="shared" si="7"/>
        <v>0</v>
      </c>
    </row>
    <row r="31" spans="1:7" x14ac:dyDescent="0.25">
      <c r="A31" s="63" t="s">
        <v>237</v>
      </c>
      <c r="B31" s="155"/>
      <c r="C31" s="155"/>
      <c r="D31" s="155">
        <f t="shared" si="6"/>
        <v>0</v>
      </c>
      <c r="E31" s="155"/>
      <c r="F31" s="155"/>
      <c r="G31" s="155">
        <f t="shared" si="7"/>
        <v>0</v>
      </c>
    </row>
    <row r="32" spans="1:7" x14ac:dyDescent="0.25">
      <c r="A32" s="63" t="s">
        <v>238</v>
      </c>
      <c r="B32" s="155"/>
      <c r="C32" s="155"/>
      <c r="D32" s="155">
        <f t="shared" si="6"/>
        <v>0</v>
      </c>
      <c r="E32" s="155"/>
      <c r="F32" s="155"/>
      <c r="G32" s="155">
        <f t="shared" si="7"/>
        <v>0</v>
      </c>
    </row>
    <row r="33" spans="1:8" x14ac:dyDescent="0.25">
      <c r="A33" s="63" t="s">
        <v>239</v>
      </c>
      <c r="B33" s="155"/>
      <c r="C33" s="155"/>
      <c r="D33" s="155">
        <f t="shared" si="6"/>
        <v>0</v>
      </c>
      <c r="E33" s="155"/>
      <c r="F33" s="155"/>
      <c r="G33" s="155">
        <f t="shared" si="7"/>
        <v>0</v>
      </c>
    </row>
    <row r="34" spans="1:8" x14ac:dyDescent="0.25">
      <c r="A34" s="53" t="s">
        <v>240</v>
      </c>
      <c r="B34" s="154">
        <v>0</v>
      </c>
      <c r="C34" s="154">
        <v>0</v>
      </c>
      <c r="D34" s="155">
        <f>B34+C34</f>
        <v>0</v>
      </c>
      <c r="E34" s="154">
        <v>0</v>
      </c>
      <c r="F34" s="154">
        <v>0</v>
      </c>
      <c r="G34" s="60">
        <f t="shared" ref="G31:G34" si="8">F34-B34</f>
        <v>0</v>
      </c>
    </row>
    <row r="35" spans="1:8" x14ac:dyDescent="0.25">
      <c r="A35" s="53" t="s">
        <v>241</v>
      </c>
      <c r="B35" s="60">
        <f>B36</f>
        <v>2113408</v>
      </c>
      <c r="C35" s="60">
        <f t="shared" ref="C35:F35" si="9">C36</f>
        <v>0</v>
      </c>
      <c r="D35" s="60">
        <f t="shared" si="9"/>
        <v>2113408</v>
      </c>
      <c r="E35" s="60">
        <f t="shared" si="9"/>
        <v>449614</v>
      </c>
      <c r="F35" s="60">
        <f t="shared" si="9"/>
        <v>449614</v>
      </c>
      <c r="G35" s="60">
        <f>G36</f>
        <v>-1663794</v>
      </c>
    </row>
    <row r="36" spans="1:8" x14ac:dyDescent="0.25">
      <c r="A36" s="63" t="s">
        <v>242</v>
      </c>
      <c r="B36" s="154">
        <v>2113408</v>
      </c>
      <c r="C36" s="154">
        <v>0</v>
      </c>
      <c r="D36" s="155">
        <f>B36+C36</f>
        <v>2113408</v>
      </c>
      <c r="E36" s="154">
        <v>449614</v>
      </c>
      <c r="F36" s="154">
        <v>449614</v>
      </c>
      <c r="G36" s="155">
        <f t="shared" ref="G36" si="10">F36-B36</f>
        <v>-1663794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1">C38+C39</f>
        <v>0</v>
      </c>
      <c r="D37" s="60">
        <f t="shared" si="11"/>
        <v>0</v>
      </c>
      <c r="E37" s="60">
        <f t="shared" si="11"/>
        <v>0</v>
      </c>
      <c r="F37" s="60">
        <f t="shared" si="11"/>
        <v>0</v>
      </c>
      <c r="G37" s="60">
        <f t="shared" si="11"/>
        <v>0</v>
      </c>
    </row>
    <row r="38" spans="1:8" x14ac:dyDescent="0.25">
      <c r="A38" s="63" t="s">
        <v>244</v>
      </c>
      <c r="B38" s="155"/>
      <c r="C38" s="155"/>
      <c r="D38" s="155">
        <f>B38+C38</f>
        <v>0</v>
      </c>
      <c r="E38" s="155"/>
      <c r="F38" s="155"/>
      <c r="G38" s="60">
        <f>F38-B38</f>
        <v>0</v>
      </c>
    </row>
    <row r="39" spans="1:8" x14ac:dyDescent="0.25">
      <c r="A39" s="63" t="s">
        <v>245</v>
      </c>
      <c r="B39" s="155"/>
      <c r="C39" s="155"/>
      <c r="D39" s="155">
        <f>B39+C39</f>
        <v>0</v>
      </c>
      <c r="E39" s="155"/>
      <c r="F39" s="155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62406668.469999999</v>
      </c>
      <c r="C41" s="61">
        <f t="shared" ref="C41:E41" si="12">SUM(C9,C10,C11,C12,C13,C14,C15,C16,C28,C34,C35,C37)</f>
        <v>0</v>
      </c>
      <c r="D41" s="61">
        <f t="shared" si="12"/>
        <v>62406668.469999999</v>
      </c>
      <c r="E41" s="61">
        <f t="shared" si="12"/>
        <v>48201612.949999996</v>
      </c>
      <c r="F41" s="61">
        <f>SUM(F9,F10,F11,F12,F13,F14,F15,F16,F28,F34,F35,F37)</f>
        <v>48201612.949999996</v>
      </c>
      <c r="G41" s="61">
        <f>SUM(G9,G10,G11,G12,G13,G14,G15,G16,G28,G34,G35,G37)</f>
        <v>-14205055.52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13">SUM(C46:C53)</f>
        <v>0</v>
      </c>
      <c r="D45" s="60">
        <f t="shared" si="13"/>
        <v>0</v>
      </c>
      <c r="E45" s="60">
        <f t="shared" si="13"/>
        <v>0</v>
      </c>
      <c r="F45" s="60">
        <f t="shared" si="13"/>
        <v>0</v>
      </c>
      <c r="G45" s="60">
        <f t="shared" si="13"/>
        <v>0</v>
      </c>
    </row>
    <row r="46" spans="1:8" x14ac:dyDescent="0.25">
      <c r="A46" s="69" t="s">
        <v>249</v>
      </c>
      <c r="B46" s="155"/>
      <c r="C46" s="155"/>
      <c r="D46" s="155">
        <f>B46+C46</f>
        <v>0</v>
      </c>
      <c r="E46" s="155"/>
      <c r="F46" s="155"/>
      <c r="G46" s="60">
        <f>F46-B46</f>
        <v>0</v>
      </c>
    </row>
    <row r="47" spans="1:8" x14ac:dyDescent="0.25">
      <c r="A47" s="69" t="s">
        <v>250</v>
      </c>
      <c r="B47" s="155"/>
      <c r="C47" s="155"/>
      <c r="D47" s="155">
        <f t="shared" ref="D47:D53" si="14">B47+C47</f>
        <v>0</v>
      </c>
      <c r="E47" s="155"/>
      <c r="F47" s="155"/>
      <c r="G47" s="60">
        <f t="shared" ref="G47:G53" si="15">F47-B47</f>
        <v>0</v>
      </c>
    </row>
    <row r="48" spans="1:8" x14ac:dyDescent="0.25">
      <c r="A48" s="69" t="s">
        <v>251</v>
      </c>
      <c r="B48" s="154">
        <v>0</v>
      </c>
      <c r="C48" s="154">
        <v>0</v>
      </c>
      <c r="D48" s="155">
        <f t="shared" si="14"/>
        <v>0</v>
      </c>
      <c r="E48" s="154">
        <v>0</v>
      </c>
      <c r="F48" s="154">
        <v>0</v>
      </c>
      <c r="G48" s="60">
        <f t="shared" si="15"/>
        <v>0</v>
      </c>
    </row>
    <row r="49" spans="1:7" ht="30" x14ac:dyDescent="0.25">
      <c r="A49" s="69" t="s">
        <v>252</v>
      </c>
      <c r="B49" s="154">
        <v>0</v>
      </c>
      <c r="C49" s="154">
        <v>0</v>
      </c>
      <c r="D49" s="155">
        <f t="shared" si="14"/>
        <v>0</v>
      </c>
      <c r="E49" s="154">
        <v>0</v>
      </c>
      <c r="F49" s="154">
        <v>0</v>
      </c>
      <c r="G49" s="60">
        <f t="shared" si="15"/>
        <v>0</v>
      </c>
    </row>
    <row r="50" spans="1:7" x14ac:dyDescent="0.25">
      <c r="A50" s="69" t="s">
        <v>253</v>
      </c>
      <c r="B50" s="155"/>
      <c r="C50" s="155"/>
      <c r="D50" s="155">
        <f t="shared" si="14"/>
        <v>0</v>
      </c>
      <c r="E50" s="155"/>
      <c r="F50" s="155"/>
      <c r="G50" s="60">
        <f t="shared" si="15"/>
        <v>0</v>
      </c>
    </row>
    <row r="51" spans="1:7" x14ac:dyDescent="0.25">
      <c r="A51" s="69" t="s">
        <v>254</v>
      </c>
      <c r="B51" s="155"/>
      <c r="C51" s="155"/>
      <c r="D51" s="155">
        <f t="shared" si="14"/>
        <v>0</v>
      </c>
      <c r="E51" s="155"/>
      <c r="F51" s="155"/>
      <c r="G51" s="60">
        <f t="shared" si="15"/>
        <v>0</v>
      </c>
    </row>
    <row r="52" spans="1:7" x14ac:dyDescent="0.25">
      <c r="A52" s="48" t="s">
        <v>255</v>
      </c>
      <c r="B52" s="155"/>
      <c r="C52" s="155"/>
      <c r="D52" s="155">
        <f t="shared" si="14"/>
        <v>0</v>
      </c>
      <c r="E52" s="155"/>
      <c r="F52" s="155"/>
      <c r="G52" s="60">
        <f t="shared" si="15"/>
        <v>0</v>
      </c>
    </row>
    <row r="53" spans="1:7" x14ac:dyDescent="0.25">
      <c r="A53" s="63" t="s">
        <v>256</v>
      </c>
      <c r="B53" s="155"/>
      <c r="C53" s="155"/>
      <c r="D53" s="155">
        <f t="shared" si="14"/>
        <v>0</v>
      </c>
      <c r="E53" s="155"/>
      <c r="F53" s="155"/>
      <c r="G53" s="60">
        <f t="shared" si="15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6">SUM(C55:C58)</f>
        <v>0</v>
      </c>
      <c r="D54" s="60">
        <f t="shared" si="16"/>
        <v>0</v>
      </c>
      <c r="E54" s="60">
        <f t="shared" si="16"/>
        <v>0</v>
      </c>
      <c r="F54" s="60">
        <f t="shared" si="16"/>
        <v>0</v>
      </c>
      <c r="G54" s="60">
        <f t="shared" si="16"/>
        <v>0</v>
      </c>
    </row>
    <row r="55" spans="1:7" x14ac:dyDescent="0.25">
      <c r="A55" s="48" t="s">
        <v>258</v>
      </c>
      <c r="B55" s="155"/>
      <c r="C55" s="155"/>
      <c r="D55" s="155">
        <f t="shared" ref="D55:D58" si="17">B55+C55</f>
        <v>0</v>
      </c>
      <c r="E55" s="155"/>
      <c r="F55" s="155"/>
      <c r="G55" s="60">
        <f>F55-B55</f>
        <v>0</v>
      </c>
    </row>
    <row r="56" spans="1:7" x14ac:dyDescent="0.25">
      <c r="A56" s="69" t="s">
        <v>259</v>
      </c>
      <c r="B56" s="155"/>
      <c r="C56" s="155"/>
      <c r="D56" s="155">
        <f t="shared" si="17"/>
        <v>0</v>
      </c>
      <c r="E56" s="155"/>
      <c r="F56" s="155"/>
      <c r="G56" s="60">
        <f t="shared" ref="G56:G58" si="18">F56-B56</f>
        <v>0</v>
      </c>
    </row>
    <row r="57" spans="1:7" x14ac:dyDescent="0.25">
      <c r="A57" s="69" t="s">
        <v>260</v>
      </c>
      <c r="B57" s="155"/>
      <c r="C57" s="155"/>
      <c r="D57" s="155">
        <f t="shared" si="17"/>
        <v>0</v>
      </c>
      <c r="E57" s="155"/>
      <c r="F57" s="155"/>
      <c r="G57" s="60">
        <f t="shared" si="18"/>
        <v>0</v>
      </c>
    </row>
    <row r="58" spans="1:7" x14ac:dyDescent="0.25">
      <c r="A58" s="48" t="s">
        <v>261</v>
      </c>
      <c r="B58" s="154">
        <v>0</v>
      </c>
      <c r="C58" s="154">
        <v>0</v>
      </c>
      <c r="D58" s="155">
        <f t="shared" si="17"/>
        <v>0</v>
      </c>
      <c r="E58" s="154">
        <v>0</v>
      </c>
      <c r="F58" s="154">
        <v>0</v>
      </c>
      <c r="G58" s="60">
        <f t="shared" si="18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9">SUM(C60:C61)</f>
        <v>0</v>
      </c>
      <c r="D59" s="60">
        <f t="shared" si="19"/>
        <v>0</v>
      </c>
      <c r="E59" s="60">
        <f t="shared" si="19"/>
        <v>0</v>
      </c>
      <c r="F59" s="60">
        <f t="shared" si="19"/>
        <v>0</v>
      </c>
      <c r="G59" s="60">
        <f t="shared" si="19"/>
        <v>0</v>
      </c>
    </row>
    <row r="60" spans="1:7" x14ac:dyDescent="0.25">
      <c r="A60" s="69" t="s">
        <v>263</v>
      </c>
      <c r="B60" s="155"/>
      <c r="C60" s="155"/>
      <c r="D60" s="155">
        <f t="shared" ref="D60:D62" si="20">B60+C60</f>
        <v>0</v>
      </c>
      <c r="E60" s="155"/>
      <c r="F60" s="155"/>
      <c r="G60" s="60">
        <f>F60-B60</f>
        <v>0</v>
      </c>
    </row>
    <row r="61" spans="1:7" x14ac:dyDescent="0.25">
      <c r="A61" s="69" t="s">
        <v>264</v>
      </c>
      <c r="B61" s="155"/>
      <c r="C61" s="155"/>
      <c r="D61" s="155">
        <f t="shared" si="20"/>
        <v>0</v>
      </c>
      <c r="E61" s="155"/>
      <c r="F61" s="155"/>
      <c r="G61" s="60">
        <f>F61-B61</f>
        <v>0</v>
      </c>
    </row>
    <row r="62" spans="1:7" x14ac:dyDescent="0.25">
      <c r="A62" s="53" t="s">
        <v>265</v>
      </c>
      <c r="B62" s="155"/>
      <c r="C62" s="155"/>
      <c r="D62" s="155">
        <f t="shared" si="20"/>
        <v>0</v>
      </c>
      <c r="E62" s="155"/>
      <c r="F62" s="155"/>
      <c r="G62" s="60">
        <f>F62-B62</f>
        <v>0</v>
      </c>
    </row>
    <row r="63" spans="1:7" x14ac:dyDescent="0.25">
      <c r="A63" s="53" t="s">
        <v>266</v>
      </c>
      <c r="B63" s="155"/>
      <c r="C63" s="155"/>
      <c r="D63" s="155">
        <f t="shared" ref="D63" si="21">B63+C63</f>
        <v>0</v>
      </c>
      <c r="E63" s="155"/>
      <c r="F63" s="155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22">C45+C54+C59+C62+C63</f>
        <v>0</v>
      </c>
      <c r="D65" s="61">
        <f t="shared" si="22"/>
        <v>0</v>
      </c>
      <c r="E65" s="61">
        <f t="shared" si="22"/>
        <v>0</v>
      </c>
      <c r="F65" s="61">
        <f t="shared" si="22"/>
        <v>0</v>
      </c>
      <c r="G65" s="61">
        <f t="shared" si="2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3">C68</f>
        <v>0</v>
      </c>
      <c r="D67" s="61">
        <f t="shared" si="23"/>
        <v>0</v>
      </c>
      <c r="E67" s="61">
        <f t="shared" si="23"/>
        <v>0</v>
      </c>
      <c r="F67" s="61">
        <f t="shared" si="23"/>
        <v>0</v>
      </c>
      <c r="G67" s="61">
        <f t="shared" si="23"/>
        <v>0</v>
      </c>
    </row>
    <row r="68" spans="1:7" x14ac:dyDescent="0.25">
      <c r="A68" s="53" t="s">
        <v>269</v>
      </c>
      <c r="B68" s="154">
        <v>0</v>
      </c>
      <c r="C68" s="154">
        <v>0</v>
      </c>
      <c r="D68" s="155">
        <f>B68+C68</f>
        <v>0</v>
      </c>
      <c r="E68" s="154">
        <v>0</v>
      </c>
      <c r="F68" s="154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62406668.469999999</v>
      </c>
      <c r="C70" s="61">
        <f t="shared" ref="C70:G70" si="24">C41+C65+C67</f>
        <v>0</v>
      </c>
      <c r="D70" s="61">
        <f t="shared" si="24"/>
        <v>62406668.469999999</v>
      </c>
      <c r="E70" s="61">
        <f t="shared" si="24"/>
        <v>48201612.949999996</v>
      </c>
      <c r="F70" s="61">
        <f t="shared" si="24"/>
        <v>48201612.949999996</v>
      </c>
      <c r="G70" s="61">
        <f t="shared" si="24"/>
        <v>-14205055.52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154">
        <v>0</v>
      </c>
      <c r="C73" s="154">
        <v>0</v>
      </c>
      <c r="D73" s="155">
        <f t="shared" ref="D73:D74" si="25">B73+C73</f>
        <v>0</v>
      </c>
      <c r="E73" s="154">
        <v>0</v>
      </c>
      <c r="F73" s="154">
        <v>0</v>
      </c>
      <c r="G73" s="60">
        <f>F73-B73</f>
        <v>0</v>
      </c>
    </row>
    <row r="74" spans="1:7" ht="30" x14ac:dyDescent="0.25">
      <c r="A74" s="129" t="s">
        <v>273</v>
      </c>
      <c r="B74" s="154">
        <v>0</v>
      </c>
      <c r="C74" s="154">
        <v>0</v>
      </c>
      <c r="D74" s="155">
        <f t="shared" si="25"/>
        <v>0</v>
      </c>
      <c r="E74" s="154">
        <v>0</v>
      </c>
      <c r="F74" s="154">
        <v>0</v>
      </c>
      <c r="G74" s="60">
        <f>F74-B74</f>
        <v>0</v>
      </c>
    </row>
    <row r="75" spans="1:7" x14ac:dyDescent="0.25">
      <c r="A75" s="119" t="s">
        <v>274</v>
      </c>
      <c r="B75" s="61">
        <f>B73+B74</f>
        <v>0</v>
      </c>
      <c r="C75" s="61">
        <f t="shared" ref="C75:G75" si="26">C73+C74</f>
        <v>0</v>
      </c>
      <c r="D75" s="61">
        <f t="shared" si="26"/>
        <v>0</v>
      </c>
      <c r="E75" s="61">
        <f t="shared" si="26"/>
        <v>0</v>
      </c>
      <c r="F75" s="61">
        <f t="shared" si="26"/>
        <v>0</v>
      </c>
      <c r="G75" s="61">
        <f t="shared" si="26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58668736.469999999</v>
      </c>
      <c r="Q6" s="18">
        <f>'Formato 5'!C12</f>
        <v>0</v>
      </c>
      <c r="R6" s="18">
        <f>'Formato 5'!D12</f>
        <v>58668736.469999999</v>
      </c>
      <c r="S6" s="18">
        <f>'Formato 5'!E12</f>
        <v>46623658.07</v>
      </c>
      <c r="T6" s="18">
        <f>'Formato 5'!F12</f>
        <v>46623658.07</v>
      </c>
      <c r="U6" s="18">
        <f>'Formato 5'!G12</f>
        <v>-12045078.399999999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124524</v>
      </c>
      <c r="Q7" s="18">
        <f>'Formato 5'!C13</f>
        <v>0</v>
      </c>
      <c r="R7" s="18">
        <f>'Formato 5'!D13</f>
        <v>124524</v>
      </c>
      <c r="S7" s="18">
        <f>'Formato 5'!E13</f>
        <v>173560.44</v>
      </c>
      <c r="T7" s="18">
        <f>'Formato 5'!F13</f>
        <v>173560.44</v>
      </c>
      <c r="U7" s="18">
        <f>'Formato 5'!G13</f>
        <v>49036.44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300000</v>
      </c>
      <c r="Q8" s="18">
        <f>'Formato 5'!C14</f>
        <v>0</v>
      </c>
      <c r="R8" s="18">
        <f>'Formato 5'!D14</f>
        <v>300000</v>
      </c>
      <c r="S8" s="18">
        <f>'Formato 5'!E14</f>
        <v>120403.53</v>
      </c>
      <c r="T8" s="18">
        <f>'Formato 5'!F14</f>
        <v>120403.53</v>
      </c>
      <c r="U8" s="18">
        <f>'Formato 5'!G14</f>
        <v>-179596.47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1200000</v>
      </c>
      <c r="Q22" s="18">
        <f>'Formato 5'!C28</f>
        <v>0</v>
      </c>
      <c r="R22" s="18">
        <f>'Formato 5'!D28</f>
        <v>1200000</v>
      </c>
      <c r="S22" s="18">
        <f>'Formato 5'!E28</f>
        <v>834376.91</v>
      </c>
      <c r="T22" s="18">
        <f>'Formato 5'!F28</f>
        <v>834376.91</v>
      </c>
      <c r="U22" s="18">
        <f>'Formato 5'!G28</f>
        <v>-365623.08999999997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1200000</v>
      </c>
      <c r="Q23" s="18">
        <f>'Formato 5'!C29</f>
        <v>0</v>
      </c>
      <c r="R23" s="18">
        <f>'Formato 5'!D29</f>
        <v>1200000</v>
      </c>
      <c r="S23" s="18">
        <f>'Formato 5'!E29</f>
        <v>834376.91</v>
      </c>
      <c r="T23" s="18">
        <f>'Formato 5'!F29</f>
        <v>834376.91</v>
      </c>
      <c r="U23" s="18">
        <f>'Formato 5'!G29</f>
        <v>-365623.08999999997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2113408</v>
      </c>
      <c r="Q29" s="18">
        <f>'Formato 5'!C35</f>
        <v>0</v>
      </c>
      <c r="R29" s="18">
        <f>'Formato 5'!D35</f>
        <v>2113408</v>
      </c>
      <c r="S29" s="18">
        <f>'Formato 5'!E35</f>
        <v>449614</v>
      </c>
      <c r="T29" s="18">
        <f>'Formato 5'!F35</f>
        <v>449614</v>
      </c>
      <c r="U29" s="18">
        <f>'Formato 5'!G35</f>
        <v>-1663794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2113408</v>
      </c>
      <c r="Q30" s="18">
        <f>'Formato 5'!C36</f>
        <v>0</v>
      </c>
      <c r="R30" s="18">
        <f>'Formato 5'!D36</f>
        <v>2113408</v>
      </c>
      <c r="S30" s="18">
        <f>'Formato 5'!E36</f>
        <v>449614</v>
      </c>
      <c r="T30" s="18">
        <f>'Formato 5'!F36</f>
        <v>449614</v>
      </c>
      <c r="U30" s="18">
        <f>'Formato 5'!G36</f>
        <v>-1663794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62406668.469999999</v>
      </c>
      <c r="Q34">
        <f>'Formato 5'!C41</f>
        <v>0</v>
      </c>
      <c r="R34">
        <f>'Formato 5'!D41</f>
        <v>62406668.469999999</v>
      </c>
      <c r="S34">
        <f>'Formato 5'!E41</f>
        <v>48201612.949999996</v>
      </c>
      <c r="T34">
        <f>'Formato 5'!F41</f>
        <v>48201612.949999996</v>
      </c>
      <c r="U34">
        <f>'Formato 5'!G41</f>
        <v>-14205055.52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A143" zoomScaleNormal="100" zoomScalePageLayoutView="90" workbookViewId="0">
      <selection activeCell="B59" sqref="B59:G6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88" t="s">
        <v>3285</v>
      </c>
      <c r="B1" s="187"/>
      <c r="C1" s="187"/>
      <c r="D1" s="187"/>
      <c r="E1" s="187"/>
      <c r="F1" s="187"/>
      <c r="G1" s="187"/>
    </row>
    <row r="2" spans="1:7" ht="14.25" x14ac:dyDescent="0.45">
      <c r="A2" s="191" t="str">
        <f>ENTE_PUBLICO_A</f>
        <v>JUNTA MUNICIPAL DE AGUA POTABLE Y ALCANTARILLADO DE CORTAZAR, GTO., Gobierno del Estado de Guanajuato (a)</v>
      </c>
      <c r="B2" s="191"/>
      <c r="C2" s="191"/>
      <c r="D2" s="191"/>
      <c r="E2" s="191"/>
      <c r="F2" s="191"/>
      <c r="G2" s="191"/>
    </row>
    <row r="3" spans="1:7" x14ac:dyDescent="0.25">
      <c r="A3" s="192" t="s">
        <v>277</v>
      </c>
      <c r="B3" s="192"/>
      <c r="C3" s="192"/>
      <c r="D3" s="192"/>
      <c r="E3" s="192"/>
      <c r="F3" s="192"/>
      <c r="G3" s="192"/>
    </row>
    <row r="4" spans="1:7" x14ac:dyDescent="0.25">
      <c r="A4" s="192" t="s">
        <v>278</v>
      </c>
      <c r="B4" s="192"/>
      <c r="C4" s="192"/>
      <c r="D4" s="192"/>
      <c r="E4" s="192"/>
      <c r="F4" s="192"/>
      <c r="G4" s="192"/>
    </row>
    <row r="5" spans="1:7" ht="14.25" x14ac:dyDescent="0.45">
      <c r="A5" s="193" t="str">
        <f>TRIMESTRE</f>
        <v>Del 1 de enero al 30 de septiembre de 2019 (b)</v>
      </c>
      <c r="B5" s="193"/>
      <c r="C5" s="193"/>
      <c r="D5" s="193"/>
      <c r="E5" s="193"/>
      <c r="F5" s="193"/>
      <c r="G5" s="193"/>
    </row>
    <row r="6" spans="1:7" ht="14.25" x14ac:dyDescent="0.45">
      <c r="A6" s="185" t="s">
        <v>118</v>
      </c>
      <c r="B6" s="185"/>
      <c r="C6" s="185"/>
      <c r="D6" s="185"/>
      <c r="E6" s="185"/>
      <c r="F6" s="185"/>
      <c r="G6" s="185"/>
    </row>
    <row r="7" spans="1:7" ht="15" customHeight="1" x14ac:dyDescent="0.25">
      <c r="A7" s="189" t="s">
        <v>0</v>
      </c>
      <c r="B7" s="189" t="s">
        <v>279</v>
      </c>
      <c r="C7" s="189"/>
      <c r="D7" s="189"/>
      <c r="E7" s="189"/>
      <c r="F7" s="189"/>
      <c r="G7" s="190" t="s">
        <v>280</v>
      </c>
    </row>
    <row r="8" spans="1:7" ht="30" x14ac:dyDescent="0.25">
      <c r="A8" s="189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89"/>
    </row>
    <row r="9" spans="1:7" ht="14.25" x14ac:dyDescent="0.45">
      <c r="A9" s="82" t="s">
        <v>285</v>
      </c>
      <c r="B9" s="79">
        <f>SUM(B10,B18,B28,B38,B48,B58,B62,B71,B75)</f>
        <v>62406668.469999999</v>
      </c>
      <c r="C9" s="79">
        <f t="shared" ref="C9:G9" si="0">SUM(C10,C18,C28,C38,C48,C58,C62,C71,C75)</f>
        <v>9084969.9900000002</v>
      </c>
      <c r="D9" s="79">
        <f t="shared" si="0"/>
        <v>71491638.460000008</v>
      </c>
      <c r="E9" s="79">
        <f t="shared" si="0"/>
        <v>44724666.850000001</v>
      </c>
      <c r="F9" s="79">
        <f t="shared" si="0"/>
        <v>40775466.390000001</v>
      </c>
      <c r="G9" s="79">
        <f t="shared" si="0"/>
        <v>26766971.609999999</v>
      </c>
    </row>
    <row r="10" spans="1:7" ht="14.25" x14ac:dyDescent="0.45">
      <c r="A10" s="83" t="s">
        <v>286</v>
      </c>
      <c r="B10" s="80">
        <f>SUM(B11:B17)</f>
        <v>23499091.469999999</v>
      </c>
      <c r="C10" s="80">
        <f t="shared" ref="C10:F10" si="1">SUM(C11:C17)</f>
        <v>569512.99999999988</v>
      </c>
      <c r="D10" s="80">
        <f t="shared" si="1"/>
        <v>24068604.470000003</v>
      </c>
      <c r="E10" s="80">
        <f t="shared" si="1"/>
        <v>14496647.289999997</v>
      </c>
      <c r="F10" s="80">
        <f t="shared" si="1"/>
        <v>14496647.289999997</v>
      </c>
      <c r="G10" s="80">
        <f>SUM(G11:G17)</f>
        <v>9571957.1799999997</v>
      </c>
    </row>
    <row r="11" spans="1:7" x14ac:dyDescent="0.25">
      <c r="A11" s="84" t="s">
        <v>287</v>
      </c>
      <c r="B11" s="157">
        <v>12008055.470000001</v>
      </c>
      <c r="C11" s="157">
        <v>512901.86</v>
      </c>
      <c r="D11" s="158">
        <f>B11+C11</f>
        <v>12520957.33</v>
      </c>
      <c r="E11" s="157">
        <v>8605084.0199999996</v>
      </c>
      <c r="F11" s="157">
        <v>8605084.0199999996</v>
      </c>
      <c r="G11" s="158">
        <f>D11-E11</f>
        <v>3915873.3100000005</v>
      </c>
    </row>
    <row r="12" spans="1:7" x14ac:dyDescent="0.25">
      <c r="A12" s="84" t="s">
        <v>288</v>
      </c>
      <c r="B12" s="157">
        <v>934456</v>
      </c>
      <c r="C12" s="157">
        <v>18690</v>
      </c>
      <c r="D12" s="158">
        <f t="shared" ref="D12:D17" si="2">B12+C12</f>
        <v>953146</v>
      </c>
      <c r="E12" s="157">
        <v>507214.62</v>
      </c>
      <c r="F12" s="157">
        <v>507214.62</v>
      </c>
      <c r="G12" s="158">
        <f t="shared" ref="G12:G17" si="3">D12-E12</f>
        <v>445931.38</v>
      </c>
    </row>
    <row r="13" spans="1:7" x14ac:dyDescent="0.25">
      <c r="A13" s="84" t="s">
        <v>289</v>
      </c>
      <c r="B13" s="157">
        <v>2788268</v>
      </c>
      <c r="C13" s="157">
        <v>243574.38</v>
      </c>
      <c r="D13" s="158">
        <f t="shared" si="2"/>
        <v>3031842.38</v>
      </c>
      <c r="E13" s="157">
        <v>717143.12</v>
      </c>
      <c r="F13" s="157">
        <v>717143.12</v>
      </c>
      <c r="G13" s="158">
        <f t="shared" si="3"/>
        <v>2314699.2599999998</v>
      </c>
    </row>
    <row r="14" spans="1:7" x14ac:dyDescent="0.25">
      <c r="A14" s="84" t="s">
        <v>290</v>
      </c>
      <c r="B14" s="157">
        <v>2875066</v>
      </c>
      <c r="C14" s="157">
        <v>195341.02</v>
      </c>
      <c r="D14" s="158">
        <f t="shared" si="2"/>
        <v>3070407.02</v>
      </c>
      <c r="E14" s="157">
        <v>2082506.42</v>
      </c>
      <c r="F14" s="157">
        <v>2082506.42</v>
      </c>
      <c r="G14" s="158">
        <f t="shared" si="3"/>
        <v>987900.60000000009</v>
      </c>
    </row>
    <row r="15" spans="1:7" x14ac:dyDescent="0.25">
      <c r="A15" s="84" t="s">
        <v>291</v>
      </c>
      <c r="B15" s="157">
        <v>3360310</v>
      </c>
      <c r="C15" s="157">
        <v>442076.37</v>
      </c>
      <c r="D15" s="158">
        <f t="shared" si="2"/>
        <v>3802386.37</v>
      </c>
      <c r="E15" s="157">
        <v>2584699.11</v>
      </c>
      <c r="F15" s="157">
        <v>2584699.11</v>
      </c>
      <c r="G15" s="158">
        <f t="shared" si="3"/>
        <v>1217687.2600000002</v>
      </c>
    </row>
    <row r="16" spans="1:7" x14ac:dyDescent="0.25">
      <c r="A16" s="84" t="s">
        <v>292</v>
      </c>
      <c r="B16" s="157">
        <v>1532936</v>
      </c>
      <c r="C16" s="157">
        <v>-843070.63</v>
      </c>
      <c r="D16" s="158">
        <f t="shared" si="2"/>
        <v>689865.37</v>
      </c>
      <c r="E16" s="157">
        <v>0</v>
      </c>
      <c r="F16" s="157">
        <v>0</v>
      </c>
      <c r="G16" s="158">
        <f t="shared" si="3"/>
        <v>689865.37</v>
      </c>
    </row>
    <row r="17" spans="1:7" x14ac:dyDescent="0.25">
      <c r="A17" s="84" t="s">
        <v>293</v>
      </c>
      <c r="B17" s="158"/>
      <c r="C17" s="158"/>
      <c r="D17" s="158">
        <f t="shared" si="2"/>
        <v>0</v>
      </c>
      <c r="E17" s="158"/>
      <c r="F17" s="158"/>
      <c r="G17" s="158">
        <f t="shared" si="3"/>
        <v>0</v>
      </c>
    </row>
    <row r="18" spans="1:7" ht="14.25" x14ac:dyDescent="0.45">
      <c r="A18" s="83" t="s">
        <v>294</v>
      </c>
      <c r="B18" s="80">
        <f>SUM(B19:B27)</f>
        <v>7578644</v>
      </c>
      <c r="C18" s="80">
        <f t="shared" ref="C18:F18" si="4">SUM(C19:C27)</f>
        <v>1630849.97</v>
      </c>
      <c r="D18" s="80">
        <f t="shared" si="4"/>
        <v>9209493.9699999988</v>
      </c>
      <c r="E18" s="80">
        <f t="shared" si="4"/>
        <v>5151037.58</v>
      </c>
      <c r="F18" s="80">
        <f t="shared" si="4"/>
        <v>5047724.58</v>
      </c>
      <c r="G18" s="80">
        <f>SUM(G19:G27)</f>
        <v>4058456.3899999992</v>
      </c>
    </row>
    <row r="19" spans="1:7" x14ac:dyDescent="0.25">
      <c r="A19" s="84" t="s">
        <v>295</v>
      </c>
      <c r="B19" s="157">
        <v>577813</v>
      </c>
      <c r="C19" s="157">
        <v>300423.26</v>
      </c>
      <c r="D19" s="158">
        <f t="shared" ref="D19:D27" si="5">B19+C19</f>
        <v>878236.26</v>
      </c>
      <c r="E19" s="157">
        <v>639290.91</v>
      </c>
      <c r="F19" s="157">
        <v>639290.91</v>
      </c>
      <c r="G19" s="158">
        <f t="shared" ref="G19:G27" si="6">D19-E19</f>
        <v>238945.34999999998</v>
      </c>
    </row>
    <row r="20" spans="1:7" x14ac:dyDescent="0.25">
      <c r="A20" s="84" t="s">
        <v>296</v>
      </c>
      <c r="B20" s="157">
        <v>80084</v>
      </c>
      <c r="C20" s="157">
        <v>10650</v>
      </c>
      <c r="D20" s="158">
        <f t="shared" si="5"/>
        <v>90734</v>
      </c>
      <c r="E20" s="157">
        <v>70704.13</v>
      </c>
      <c r="F20" s="157">
        <v>62981.13</v>
      </c>
      <c r="G20" s="158">
        <f t="shared" si="6"/>
        <v>20029.869999999995</v>
      </c>
    </row>
    <row r="21" spans="1:7" x14ac:dyDescent="0.25">
      <c r="A21" s="84" t="s">
        <v>297</v>
      </c>
      <c r="B21" s="158"/>
      <c r="C21" s="158"/>
      <c r="D21" s="158">
        <f t="shared" si="5"/>
        <v>0</v>
      </c>
      <c r="E21" s="158"/>
      <c r="F21" s="158"/>
      <c r="G21" s="158">
        <f t="shared" si="6"/>
        <v>0</v>
      </c>
    </row>
    <row r="22" spans="1:7" x14ac:dyDescent="0.25">
      <c r="A22" s="84" t="s">
        <v>298</v>
      </c>
      <c r="B22" s="157">
        <v>4158216</v>
      </c>
      <c r="C22" s="157">
        <v>981033.52</v>
      </c>
      <c r="D22" s="158">
        <f t="shared" si="5"/>
        <v>5139249.5199999996</v>
      </c>
      <c r="E22" s="157">
        <v>2553626.83</v>
      </c>
      <c r="F22" s="157">
        <v>2458036.83</v>
      </c>
      <c r="G22" s="158">
        <f t="shared" si="6"/>
        <v>2585622.6899999995</v>
      </c>
    </row>
    <row r="23" spans="1:7" x14ac:dyDescent="0.25">
      <c r="A23" s="84" t="s">
        <v>299</v>
      </c>
      <c r="B23" s="157">
        <v>1039608</v>
      </c>
      <c r="C23" s="157">
        <v>283362</v>
      </c>
      <c r="D23" s="158">
        <f t="shared" si="5"/>
        <v>1322970</v>
      </c>
      <c r="E23" s="157">
        <v>700348.97</v>
      </c>
      <c r="F23" s="157">
        <v>700348.97</v>
      </c>
      <c r="G23" s="158">
        <f t="shared" si="6"/>
        <v>622621.03</v>
      </c>
    </row>
    <row r="24" spans="1:7" x14ac:dyDescent="0.25">
      <c r="A24" s="84" t="s">
        <v>300</v>
      </c>
      <c r="B24" s="157">
        <v>1080844</v>
      </c>
      <c r="C24" s="157">
        <v>35000</v>
      </c>
      <c r="D24" s="158">
        <f t="shared" si="5"/>
        <v>1115844</v>
      </c>
      <c r="E24" s="157">
        <v>689357.2</v>
      </c>
      <c r="F24" s="157">
        <v>689357.2</v>
      </c>
      <c r="G24" s="158">
        <f t="shared" si="6"/>
        <v>426486.80000000005</v>
      </c>
    </row>
    <row r="25" spans="1:7" x14ac:dyDescent="0.25">
      <c r="A25" s="84" t="s">
        <v>301</v>
      </c>
      <c r="B25" s="157">
        <v>520313</v>
      </c>
      <c r="C25" s="157">
        <v>3956</v>
      </c>
      <c r="D25" s="158">
        <f t="shared" si="5"/>
        <v>524269</v>
      </c>
      <c r="E25" s="157">
        <v>379066.19</v>
      </c>
      <c r="F25" s="157">
        <v>379066.19</v>
      </c>
      <c r="G25" s="158">
        <f t="shared" si="6"/>
        <v>145202.81</v>
      </c>
    </row>
    <row r="26" spans="1:7" x14ac:dyDescent="0.25">
      <c r="A26" s="84" t="s">
        <v>302</v>
      </c>
      <c r="B26" s="158"/>
      <c r="C26" s="158"/>
      <c r="D26" s="158">
        <f t="shared" si="5"/>
        <v>0</v>
      </c>
      <c r="E26" s="158"/>
      <c r="F26" s="158"/>
      <c r="G26" s="158">
        <f t="shared" si="6"/>
        <v>0</v>
      </c>
    </row>
    <row r="27" spans="1:7" x14ac:dyDescent="0.25">
      <c r="A27" s="84" t="s">
        <v>303</v>
      </c>
      <c r="B27" s="157">
        <v>121766</v>
      </c>
      <c r="C27" s="157">
        <v>16425.189999999999</v>
      </c>
      <c r="D27" s="158">
        <f t="shared" si="5"/>
        <v>138191.19</v>
      </c>
      <c r="E27" s="157">
        <v>118643.35</v>
      </c>
      <c r="F27" s="157">
        <v>118643.35</v>
      </c>
      <c r="G27" s="158">
        <f t="shared" si="6"/>
        <v>19547.839999999997</v>
      </c>
    </row>
    <row r="28" spans="1:7" x14ac:dyDescent="0.25">
      <c r="A28" s="83" t="s">
        <v>304</v>
      </c>
      <c r="B28" s="80">
        <f>SUM(B29:B37)</f>
        <v>17345577</v>
      </c>
      <c r="C28" s="80">
        <f t="shared" ref="C28:G28" si="7">SUM(C29:C37)</f>
        <v>-257594.40000000002</v>
      </c>
      <c r="D28" s="80">
        <f t="shared" si="7"/>
        <v>17087982.600000001</v>
      </c>
      <c r="E28" s="80">
        <f t="shared" si="7"/>
        <v>12897838.790000001</v>
      </c>
      <c r="F28" s="80">
        <f t="shared" si="7"/>
        <v>12895753.790000001</v>
      </c>
      <c r="G28" s="80">
        <f t="shared" si="7"/>
        <v>4190143.8100000005</v>
      </c>
    </row>
    <row r="29" spans="1:7" x14ac:dyDescent="0.25">
      <c r="A29" s="84" t="s">
        <v>305</v>
      </c>
      <c r="B29" s="157">
        <v>7965647</v>
      </c>
      <c r="C29" s="157">
        <v>0</v>
      </c>
      <c r="D29" s="158">
        <f t="shared" ref="D29:D37" si="8">B29+C29</f>
        <v>7965647</v>
      </c>
      <c r="E29" s="157">
        <v>6303487.4900000002</v>
      </c>
      <c r="F29" s="157">
        <v>6303487.4900000002</v>
      </c>
      <c r="G29" s="158">
        <f t="shared" ref="G29:G37" si="9">D29-E29</f>
        <v>1662159.5099999998</v>
      </c>
    </row>
    <row r="30" spans="1:7" x14ac:dyDescent="0.25">
      <c r="A30" s="84" t="s">
        <v>306</v>
      </c>
      <c r="B30" s="157">
        <v>18700</v>
      </c>
      <c r="C30" s="157">
        <v>0</v>
      </c>
      <c r="D30" s="158">
        <f t="shared" si="8"/>
        <v>18700</v>
      </c>
      <c r="E30" s="157">
        <v>3000</v>
      </c>
      <c r="F30" s="157">
        <v>3000</v>
      </c>
      <c r="G30" s="158">
        <f t="shared" si="9"/>
        <v>15700</v>
      </c>
    </row>
    <row r="31" spans="1:7" x14ac:dyDescent="0.25">
      <c r="A31" s="84" t="s">
        <v>307</v>
      </c>
      <c r="B31" s="157">
        <v>2747789</v>
      </c>
      <c r="C31" s="157">
        <v>-234883.76</v>
      </c>
      <c r="D31" s="158">
        <f t="shared" si="8"/>
        <v>2512905.2400000002</v>
      </c>
      <c r="E31" s="157">
        <v>2001842.72</v>
      </c>
      <c r="F31" s="157">
        <v>2001842.72</v>
      </c>
      <c r="G31" s="158">
        <f t="shared" si="9"/>
        <v>511062.52000000025</v>
      </c>
    </row>
    <row r="32" spans="1:7" x14ac:dyDescent="0.25">
      <c r="A32" s="84" t="s">
        <v>308</v>
      </c>
      <c r="B32" s="157">
        <v>856094</v>
      </c>
      <c r="C32" s="157">
        <v>1957.02</v>
      </c>
      <c r="D32" s="158">
        <f t="shared" si="8"/>
        <v>858051.02</v>
      </c>
      <c r="E32" s="157">
        <v>564349.26</v>
      </c>
      <c r="F32" s="157">
        <v>564349.26</v>
      </c>
      <c r="G32" s="158">
        <f t="shared" si="9"/>
        <v>293701.76000000001</v>
      </c>
    </row>
    <row r="33" spans="1:7" x14ac:dyDescent="0.25">
      <c r="A33" s="84" t="s">
        <v>309</v>
      </c>
      <c r="B33" s="157">
        <v>2939949</v>
      </c>
      <c r="C33" s="157">
        <v>-45228.21</v>
      </c>
      <c r="D33" s="158">
        <f t="shared" si="8"/>
        <v>2894720.79</v>
      </c>
      <c r="E33" s="157">
        <v>1942405.15</v>
      </c>
      <c r="F33" s="157">
        <v>1942405.15</v>
      </c>
      <c r="G33" s="158">
        <f t="shared" si="9"/>
        <v>952315.64000000013</v>
      </c>
    </row>
    <row r="34" spans="1:7" x14ac:dyDescent="0.25">
      <c r="A34" s="84" t="s">
        <v>310</v>
      </c>
      <c r="B34" s="157">
        <v>241200</v>
      </c>
      <c r="C34" s="157">
        <v>0</v>
      </c>
      <c r="D34" s="158">
        <f t="shared" si="8"/>
        <v>241200</v>
      </c>
      <c r="E34" s="157">
        <v>108141.17</v>
      </c>
      <c r="F34" s="157">
        <v>108141.17</v>
      </c>
      <c r="G34" s="158">
        <f t="shared" si="9"/>
        <v>133058.83000000002</v>
      </c>
    </row>
    <row r="35" spans="1:7" x14ac:dyDescent="0.25">
      <c r="A35" s="84" t="s">
        <v>311</v>
      </c>
      <c r="B35" s="157">
        <v>39600</v>
      </c>
      <c r="C35" s="157">
        <v>-4865.45</v>
      </c>
      <c r="D35" s="158">
        <f t="shared" si="8"/>
        <v>34734.550000000003</v>
      </c>
      <c r="E35" s="157">
        <v>7856.58</v>
      </c>
      <c r="F35" s="157">
        <v>7856.58</v>
      </c>
      <c r="G35" s="158">
        <f t="shared" si="9"/>
        <v>26877.97</v>
      </c>
    </row>
    <row r="36" spans="1:7" x14ac:dyDescent="0.25">
      <c r="A36" s="84" t="s">
        <v>312</v>
      </c>
      <c r="B36" s="157">
        <v>136000</v>
      </c>
      <c r="C36" s="157">
        <v>0</v>
      </c>
      <c r="D36" s="158">
        <f t="shared" si="8"/>
        <v>136000</v>
      </c>
      <c r="E36" s="157">
        <v>71120.820000000007</v>
      </c>
      <c r="F36" s="157">
        <v>71120.820000000007</v>
      </c>
      <c r="G36" s="158">
        <f t="shared" si="9"/>
        <v>64879.179999999993</v>
      </c>
    </row>
    <row r="37" spans="1:7" x14ac:dyDescent="0.25">
      <c r="A37" s="84" t="s">
        <v>313</v>
      </c>
      <c r="B37" s="157">
        <v>2400598</v>
      </c>
      <c r="C37" s="157">
        <v>25426</v>
      </c>
      <c r="D37" s="158">
        <f t="shared" si="8"/>
        <v>2426024</v>
      </c>
      <c r="E37" s="157">
        <v>1895635.6</v>
      </c>
      <c r="F37" s="157">
        <v>1893550.6</v>
      </c>
      <c r="G37" s="158">
        <f t="shared" si="9"/>
        <v>530388.39999999991</v>
      </c>
    </row>
    <row r="38" spans="1:7" x14ac:dyDescent="0.25">
      <c r="A38" s="83" t="s">
        <v>314</v>
      </c>
      <c r="B38" s="80">
        <f>SUM(B39:B47)</f>
        <v>49800</v>
      </c>
      <c r="C38" s="80">
        <f t="shared" ref="C38:G38" si="10">SUM(C39:C47)</f>
        <v>411077.5</v>
      </c>
      <c r="D38" s="80">
        <f t="shared" si="10"/>
        <v>460877.5</v>
      </c>
      <c r="E38" s="80">
        <f t="shared" si="10"/>
        <v>404838.67</v>
      </c>
      <c r="F38" s="80">
        <f t="shared" si="10"/>
        <v>25761.17</v>
      </c>
      <c r="G38" s="80">
        <f t="shared" si="10"/>
        <v>56038.83</v>
      </c>
    </row>
    <row r="39" spans="1:7" x14ac:dyDescent="0.25">
      <c r="A39" s="84" t="s">
        <v>315</v>
      </c>
      <c r="B39" s="157">
        <v>0</v>
      </c>
      <c r="C39" s="157">
        <v>379077.5</v>
      </c>
      <c r="D39" s="158">
        <f t="shared" ref="D39:D47" si="11">B39+C39</f>
        <v>379077.5</v>
      </c>
      <c r="E39" s="157">
        <v>379077.5</v>
      </c>
      <c r="F39" s="157">
        <v>0</v>
      </c>
      <c r="G39" s="158">
        <f t="shared" ref="G39:G47" si="12">D39-E39</f>
        <v>0</v>
      </c>
    </row>
    <row r="40" spans="1:7" x14ac:dyDescent="0.25">
      <c r="A40" s="84" t="s">
        <v>316</v>
      </c>
      <c r="B40" s="158"/>
      <c r="C40" s="158"/>
      <c r="D40" s="158">
        <f t="shared" si="11"/>
        <v>0</v>
      </c>
      <c r="E40" s="158"/>
      <c r="F40" s="158"/>
      <c r="G40" s="158">
        <f t="shared" si="12"/>
        <v>0</v>
      </c>
    </row>
    <row r="41" spans="1:7" x14ac:dyDescent="0.25">
      <c r="A41" s="84" t="s">
        <v>317</v>
      </c>
      <c r="B41" s="158"/>
      <c r="C41" s="158"/>
      <c r="D41" s="158">
        <f t="shared" si="11"/>
        <v>0</v>
      </c>
      <c r="E41" s="158"/>
      <c r="F41" s="158"/>
      <c r="G41" s="158">
        <f t="shared" si="12"/>
        <v>0</v>
      </c>
    </row>
    <row r="42" spans="1:7" x14ac:dyDescent="0.25">
      <c r="A42" s="84" t="s">
        <v>318</v>
      </c>
      <c r="B42" s="157">
        <v>49800</v>
      </c>
      <c r="C42" s="157">
        <v>32000</v>
      </c>
      <c r="D42" s="158">
        <f t="shared" si="11"/>
        <v>81800</v>
      </c>
      <c r="E42" s="157">
        <v>25761.17</v>
      </c>
      <c r="F42" s="157">
        <v>25761.17</v>
      </c>
      <c r="G42" s="158">
        <f t="shared" si="12"/>
        <v>56038.83</v>
      </c>
    </row>
    <row r="43" spans="1:7" x14ac:dyDescent="0.25">
      <c r="A43" s="84" t="s">
        <v>319</v>
      </c>
      <c r="B43" s="158"/>
      <c r="C43" s="158"/>
      <c r="D43" s="158">
        <f t="shared" si="11"/>
        <v>0</v>
      </c>
      <c r="E43" s="158"/>
      <c r="F43" s="158"/>
      <c r="G43" s="158">
        <f t="shared" si="12"/>
        <v>0</v>
      </c>
    </row>
    <row r="44" spans="1:7" x14ac:dyDescent="0.25">
      <c r="A44" s="84" t="s">
        <v>320</v>
      </c>
      <c r="B44" s="158"/>
      <c r="C44" s="158"/>
      <c r="D44" s="158">
        <f t="shared" si="11"/>
        <v>0</v>
      </c>
      <c r="E44" s="158"/>
      <c r="F44" s="158"/>
      <c r="G44" s="158">
        <f t="shared" si="12"/>
        <v>0</v>
      </c>
    </row>
    <row r="45" spans="1:7" x14ac:dyDescent="0.25">
      <c r="A45" s="84" t="s">
        <v>321</v>
      </c>
      <c r="B45" s="158"/>
      <c r="C45" s="158"/>
      <c r="D45" s="158">
        <f t="shared" si="11"/>
        <v>0</v>
      </c>
      <c r="E45" s="158"/>
      <c r="F45" s="158"/>
      <c r="G45" s="158">
        <f t="shared" si="12"/>
        <v>0</v>
      </c>
    </row>
    <row r="46" spans="1:7" x14ac:dyDescent="0.25">
      <c r="A46" s="84" t="s">
        <v>322</v>
      </c>
      <c r="B46" s="158"/>
      <c r="C46" s="158"/>
      <c r="D46" s="158">
        <f t="shared" si="11"/>
        <v>0</v>
      </c>
      <c r="E46" s="158"/>
      <c r="F46" s="158"/>
      <c r="G46" s="158">
        <f t="shared" si="12"/>
        <v>0</v>
      </c>
    </row>
    <row r="47" spans="1:7" x14ac:dyDescent="0.25">
      <c r="A47" s="84" t="s">
        <v>323</v>
      </c>
      <c r="B47" s="158"/>
      <c r="C47" s="158"/>
      <c r="D47" s="158">
        <f t="shared" si="11"/>
        <v>0</v>
      </c>
      <c r="E47" s="158"/>
      <c r="F47" s="158"/>
      <c r="G47" s="158">
        <f t="shared" si="12"/>
        <v>0</v>
      </c>
    </row>
    <row r="48" spans="1:7" x14ac:dyDescent="0.25">
      <c r="A48" s="83" t="s">
        <v>324</v>
      </c>
      <c r="B48" s="80">
        <f>SUM(B49:B57)</f>
        <v>1082368</v>
      </c>
      <c r="C48" s="80">
        <f t="shared" ref="C48:G48" si="13">SUM(C49:C57)</f>
        <v>1144087.43</v>
      </c>
      <c r="D48" s="80">
        <f t="shared" si="13"/>
        <v>2226455.4300000002</v>
      </c>
      <c r="E48" s="80">
        <f t="shared" si="13"/>
        <v>2078290.31</v>
      </c>
      <c r="F48" s="80">
        <f t="shared" si="13"/>
        <v>2078290.31</v>
      </c>
      <c r="G48" s="80">
        <f t="shared" si="13"/>
        <v>148165.11999999988</v>
      </c>
    </row>
    <row r="49" spans="1:7" x14ac:dyDescent="0.25">
      <c r="A49" s="84" t="s">
        <v>325</v>
      </c>
      <c r="B49" s="157">
        <v>315270</v>
      </c>
      <c r="C49" s="157">
        <v>97072.05</v>
      </c>
      <c r="D49" s="158">
        <f t="shared" ref="D49:D57" si="14">B49+C49</f>
        <v>412342.05</v>
      </c>
      <c r="E49" s="157">
        <v>219363.85</v>
      </c>
      <c r="F49" s="157">
        <v>219363.85</v>
      </c>
      <c r="G49" s="158">
        <f t="shared" ref="G49:G57" si="15">D49-E49</f>
        <v>192978.19999999998</v>
      </c>
    </row>
    <row r="50" spans="1:7" x14ac:dyDescent="0.25">
      <c r="A50" s="84" t="s">
        <v>326</v>
      </c>
      <c r="B50" s="157">
        <v>6000</v>
      </c>
      <c r="C50" s="157">
        <v>78936.5</v>
      </c>
      <c r="D50" s="158">
        <f t="shared" si="14"/>
        <v>84936.5</v>
      </c>
      <c r="E50" s="157">
        <v>47578.53</v>
      </c>
      <c r="F50" s="157">
        <v>47578.53</v>
      </c>
      <c r="G50" s="158">
        <f t="shared" si="15"/>
        <v>37357.97</v>
      </c>
    </row>
    <row r="51" spans="1:7" x14ac:dyDescent="0.25">
      <c r="A51" s="84" t="s">
        <v>327</v>
      </c>
      <c r="B51" s="158"/>
      <c r="C51" s="158"/>
      <c r="D51" s="158">
        <f t="shared" si="14"/>
        <v>0</v>
      </c>
      <c r="E51" s="158"/>
      <c r="F51" s="158"/>
      <c r="G51" s="158">
        <f t="shared" si="15"/>
        <v>0</v>
      </c>
    </row>
    <row r="52" spans="1:7" x14ac:dyDescent="0.25">
      <c r="A52" s="84" t="s">
        <v>328</v>
      </c>
      <c r="B52" s="157">
        <v>50000</v>
      </c>
      <c r="C52" s="157">
        <v>2137.9299999999998</v>
      </c>
      <c r="D52" s="158">
        <f t="shared" si="14"/>
        <v>52137.93</v>
      </c>
      <c r="E52" s="157">
        <v>52137.93</v>
      </c>
      <c r="F52" s="157">
        <v>52137.93</v>
      </c>
      <c r="G52" s="158">
        <f t="shared" si="15"/>
        <v>0</v>
      </c>
    </row>
    <row r="53" spans="1:7" x14ac:dyDescent="0.25">
      <c r="A53" s="84" t="s">
        <v>329</v>
      </c>
      <c r="B53" s="158"/>
      <c r="C53" s="158"/>
      <c r="D53" s="158">
        <f t="shared" si="14"/>
        <v>0</v>
      </c>
      <c r="E53" s="158"/>
      <c r="F53" s="158"/>
      <c r="G53" s="158">
        <f t="shared" si="15"/>
        <v>0</v>
      </c>
    </row>
    <row r="54" spans="1:7" x14ac:dyDescent="0.25">
      <c r="A54" s="84" t="s">
        <v>330</v>
      </c>
      <c r="B54" s="157">
        <v>513748</v>
      </c>
      <c r="C54" s="157">
        <v>989413</v>
      </c>
      <c r="D54" s="158">
        <f t="shared" si="14"/>
        <v>1503161</v>
      </c>
      <c r="E54" s="157">
        <v>193110</v>
      </c>
      <c r="F54" s="157">
        <v>193110</v>
      </c>
      <c r="G54" s="158">
        <f t="shared" si="15"/>
        <v>1310051</v>
      </c>
    </row>
    <row r="55" spans="1:7" x14ac:dyDescent="0.25">
      <c r="A55" s="84" t="s">
        <v>331</v>
      </c>
      <c r="B55" s="158"/>
      <c r="C55" s="158"/>
      <c r="D55" s="158">
        <f t="shared" si="14"/>
        <v>0</v>
      </c>
      <c r="E55" s="158"/>
      <c r="F55" s="158"/>
      <c r="G55" s="158">
        <f t="shared" si="15"/>
        <v>0</v>
      </c>
    </row>
    <row r="56" spans="1:7" x14ac:dyDescent="0.25">
      <c r="A56" s="84" t="s">
        <v>332</v>
      </c>
      <c r="B56" s="158"/>
      <c r="C56" s="158"/>
      <c r="D56" s="158">
        <f t="shared" si="14"/>
        <v>0</v>
      </c>
      <c r="E56" s="158"/>
      <c r="F56" s="158"/>
      <c r="G56" s="158">
        <f t="shared" si="15"/>
        <v>0</v>
      </c>
    </row>
    <row r="57" spans="1:7" x14ac:dyDescent="0.25">
      <c r="A57" s="84" t="s">
        <v>333</v>
      </c>
      <c r="B57" s="157">
        <v>197350</v>
      </c>
      <c r="C57" s="157">
        <v>-23472.05</v>
      </c>
      <c r="D57" s="158">
        <f t="shared" si="14"/>
        <v>173877.95</v>
      </c>
      <c r="E57" s="157">
        <v>1566100</v>
      </c>
      <c r="F57" s="157">
        <v>1566100</v>
      </c>
      <c r="G57" s="158">
        <f t="shared" si="15"/>
        <v>-1392222.05</v>
      </c>
    </row>
    <row r="58" spans="1:7" x14ac:dyDescent="0.25">
      <c r="A58" s="83" t="s">
        <v>334</v>
      </c>
      <c r="B58" s="80">
        <f>SUM(B59:B61)</f>
        <v>12851188</v>
      </c>
      <c r="C58" s="80">
        <f t="shared" ref="C58:G58" si="16">SUM(C59:C61)</f>
        <v>5587036.4900000002</v>
      </c>
      <c r="D58" s="80">
        <f t="shared" si="16"/>
        <v>18438224.489999998</v>
      </c>
      <c r="E58" s="80">
        <f t="shared" si="16"/>
        <v>9696014.209999999</v>
      </c>
      <c r="F58" s="80">
        <f t="shared" si="16"/>
        <v>6231289.25</v>
      </c>
      <c r="G58" s="80">
        <f t="shared" si="16"/>
        <v>8742210.2799999993</v>
      </c>
    </row>
    <row r="59" spans="1:7" x14ac:dyDescent="0.25">
      <c r="A59" s="84" t="s">
        <v>335</v>
      </c>
      <c r="B59" s="157">
        <v>12668878</v>
      </c>
      <c r="C59" s="157">
        <v>4590689.95</v>
      </c>
      <c r="D59" s="158">
        <f t="shared" ref="D59:D61" si="17">B59+C59</f>
        <v>17259567.949999999</v>
      </c>
      <c r="E59" s="157">
        <v>8648850.5299999993</v>
      </c>
      <c r="F59" s="157">
        <v>5184125.57</v>
      </c>
      <c r="G59" s="158">
        <f t="shared" ref="G59:G61" si="18">D59-E59</f>
        <v>8610717.4199999999</v>
      </c>
    </row>
    <row r="60" spans="1:7" x14ac:dyDescent="0.25">
      <c r="A60" s="84" t="s">
        <v>336</v>
      </c>
      <c r="B60" s="158"/>
      <c r="C60" s="158"/>
      <c r="D60" s="158">
        <f t="shared" si="17"/>
        <v>0</v>
      </c>
      <c r="E60" s="158"/>
      <c r="F60" s="158"/>
      <c r="G60" s="158">
        <f t="shared" si="18"/>
        <v>0</v>
      </c>
    </row>
    <row r="61" spans="1:7" x14ac:dyDescent="0.25">
      <c r="A61" s="84" t="s">
        <v>337</v>
      </c>
      <c r="B61" s="157">
        <v>182310</v>
      </c>
      <c r="C61" s="157">
        <v>996346.54</v>
      </c>
      <c r="D61" s="158">
        <f t="shared" si="17"/>
        <v>1178656.54</v>
      </c>
      <c r="E61" s="157">
        <v>1047163.68</v>
      </c>
      <c r="F61" s="157">
        <v>1047163.68</v>
      </c>
      <c r="G61" s="158">
        <f t="shared" si="18"/>
        <v>131492.85999999999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9">SUM(C63:C67,C69:C70)</f>
        <v>0</v>
      </c>
      <c r="D62" s="80">
        <f t="shared" si="19"/>
        <v>0</v>
      </c>
      <c r="E62" s="80">
        <f t="shared" si="19"/>
        <v>0</v>
      </c>
      <c r="F62" s="80">
        <f t="shared" si="19"/>
        <v>0</v>
      </c>
      <c r="G62" s="80">
        <f t="shared" si="19"/>
        <v>0</v>
      </c>
    </row>
    <row r="63" spans="1:7" x14ac:dyDescent="0.25">
      <c r="A63" s="84" t="s">
        <v>339</v>
      </c>
      <c r="B63" s="158"/>
      <c r="C63" s="158"/>
      <c r="D63" s="158">
        <f t="shared" ref="D63:D70" si="20">B63+C63</f>
        <v>0</v>
      </c>
      <c r="E63" s="158"/>
      <c r="F63" s="158"/>
      <c r="G63" s="80">
        <f>D63-E63</f>
        <v>0</v>
      </c>
    </row>
    <row r="64" spans="1:7" x14ac:dyDescent="0.25">
      <c r="A64" s="84" t="s">
        <v>340</v>
      </c>
      <c r="B64" s="158"/>
      <c r="C64" s="158"/>
      <c r="D64" s="158">
        <f t="shared" si="20"/>
        <v>0</v>
      </c>
      <c r="E64" s="158"/>
      <c r="F64" s="158"/>
      <c r="G64" s="80">
        <f t="shared" ref="G64:G70" si="21">D64-E64</f>
        <v>0</v>
      </c>
    </row>
    <row r="65" spans="1:7" x14ac:dyDescent="0.25">
      <c r="A65" s="84" t="s">
        <v>341</v>
      </c>
      <c r="B65" s="158"/>
      <c r="C65" s="158"/>
      <c r="D65" s="158">
        <f t="shared" si="20"/>
        <v>0</v>
      </c>
      <c r="E65" s="158"/>
      <c r="F65" s="158"/>
      <c r="G65" s="80">
        <f t="shared" si="21"/>
        <v>0</v>
      </c>
    </row>
    <row r="66" spans="1:7" x14ac:dyDescent="0.25">
      <c r="A66" s="84" t="s">
        <v>342</v>
      </c>
      <c r="B66" s="158"/>
      <c r="C66" s="158"/>
      <c r="D66" s="158">
        <f t="shared" si="20"/>
        <v>0</v>
      </c>
      <c r="E66" s="158"/>
      <c r="F66" s="158"/>
      <c r="G66" s="80">
        <f t="shared" si="21"/>
        <v>0</v>
      </c>
    </row>
    <row r="67" spans="1:7" x14ac:dyDescent="0.25">
      <c r="A67" s="84" t="s">
        <v>343</v>
      </c>
      <c r="B67" s="158"/>
      <c r="C67" s="158"/>
      <c r="D67" s="158">
        <f t="shared" si="20"/>
        <v>0</v>
      </c>
      <c r="E67" s="158"/>
      <c r="F67" s="158"/>
      <c r="G67" s="80">
        <f t="shared" si="21"/>
        <v>0</v>
      </c>
    </row>
    <row r="68" spans="1:7" x14ac:dyDescent="0.25">
      <c r="A68" s="84" t="s">
        <v>3301</v>
      </c>
      <c r="B68" s="158"/>
      <c r="C68" s="158"/>
      <c r="D68" s="158">
        <f t="shared" si="20"/>
        <v>0</v>
      </c>
      <c r="E68" s="158"/>
      <c r="F68" s="158"/>
      <c r="G68" s="80">
        <f t="shared" si="21"/>
        <v>0</v>
      </c>
    </row>
    <row r="69" spans="1:7" x14ac:dyDescent="0.25">
      <c r="A69" s="84" t="s">
        <v>345</v>
      </c>
      <c r="B69" s="158"/>
      <c r="C69" s="158"/>
      <c r="D69" s="158">
        <f t="shared" si="20"/>
        <v>0</v>
      </c>
      <c r="E69" s="158"/>
      <c r="F69" s="158"/>
      <c r="G69" s="80">
        <f t="shared" si="21"/>
        <v>0</v>
      </c>
    </row>
    <row r="70" spans="1:7" x14ac:dyDescent="0.25">
      <c r="A70" s="84" t="s">
        <v>346</v>
      </c>
      <c r="B70" s="158"/>
      <c r="C70" s="158"/>
      <c r="D70" s="158">
        <f t="shared" si="20"/>
        <v>0</v>
      </c>
      <c r="E70" s="158"/>
      <c r="F70" s="158"/>
      <c r="G70" s="80">
        <f t="shared" si="21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 x14ac:dyDescent="0.25">
      <c r="A72" s="84" t="s">
        <v>348</v>
      </c>
      <c r="B72" s="158"/>
      <c r="C72" s="158"/>
      <c r="D72" s="158">
        <f t="shared" ref="D72:D74" si="23">B72+C72</f>
        <v>0</v>
      </c>
      <c r="E72" s="158"/>
      <c r="F72" s="158"/>
      <c r="G72" s="80">
        <f>D72-E72</f>
        <v>0</v>
      </c>
    </row>
    <row r="73" spans="1:7" x14ac:dyDescent="0.25">
      <c r="A73" s="84" t="s">
        <v>349</v>
      </c>
      <c r="B73" s="158"/>
      <c r="C73" s="158"/>
      <c r="D73" s="158">
        <f t="shared" si="23"/>
        <v>0</v>
      </c>
      <c r="E73" s="158"/>
      <c r="F73" s="158"/>
      <c r="G73" s="80">
        <f t="shared" ref="G73:G74" si="24">D73-E73</f>
        <v>0</v>
      </c>
    </row>
    <row r="74" spans="1:7" x14ac:dyDescent="0.25">
      <c r="A74" s="84" t="s">
        <v>350</v>
      </c>
      <c r="B74" s="158"/>
      <c r="C74" s="158"/>
      <c r="D74" s="158">
        <f t="shared" si="23"/>
        <v>0</v>
      </c>
      <c r="E74" s="158"/>
      <c r="F74" s="158"/>
      <c r="G74" s="80">
        <f t="shared" si="2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5">SUM(C76:C82)</f>
        <v>0</v>
      </c>
      <c r="D75" s="80">
        <f t="shared" si="25"/>
        <v>0</v>
      </c>
      <c r="E75" s="80">
        <f t="shared" si="25"/>
        <v>0</v>
      </c>
      <c r="F75" s="80">
        <f t="shared" si="25"/>
        <v>0</v>
      </c>
      <c r="G75" s="80">
        <f t="shared" si="25"/>
        <v>0</v>
      </c>
    </row>
    <row r="76" spans="1:7" x14ac:dyDescent="0.25">
      <c r="A76" s="84" t="s">
        <v>352</v>
      </c>
      <c r="B76" s="158"/>
      <c r="C76" s="158"/>
      <c r="D76" s="158">
        <f t="shared" ref="D76:D82" si="26">B76+C76</f>
        <v>0</v>
      </c>
      <c r="E76" s="158"/>
      <c r="F76" s="158"/>
      <c r="G76" s="80">
        <f>D76-E76</f>
        <v>0</v>
      </c>
    </row>
    <row r="77" spans="1:7" x14ac:dyDescent="0.25">
      <c r="A77" s="84" t="s">
        <v>353</v>
      </c>
      <c r="B77" s="158"/>
      <c r="C77" s="158"/>
      <c r="D77" s="158">
        <f t="shared" si="26"/>
        <v>0</v>
      </c>
      <c r="E77" s="158"/>
      <c r="F77" s="158"/>
      <c r="G77" s="80">
        <f t="shared" ref="G77:G82" si="27">D77-E77</f>
        <v>0</v>
      </c>
    </row>
    <row r="78" spans="1:7" x14ac:dyDescent="0.25">
      <c r="A78" s="84" t="s">
        <v>354</v>
      </c>
      <c r="B78" s="158"/>
      <c r="C78" s="158"/>
      <c r="D78" s="158">
        <f t="shared" si="26"/>
        <v>0</v>
      </c>
      <c r="E78" s="158"/>
      <c r="F78" s="158"/>
      <c r="G78" s="80">
        <f t="shared" si="27"/>
        <v>0</v>
      </c>
    </row>
    <row r="79" spans="1:7" x14ac:dyDescent="0.25">
      <c r="A79" s="84" t="s">
        <v>355</v>
      </c>
      <c r="B79" s="158"/>
      <c r="C79" s="158"/>
      <c r="D79" s="158">
        <f t="shared" si="26"/>
        <v>0</v>
      </c>
      <c r="E79" s="158"/>
      <c r="F79" s="158"/>
      <c r="G79" s="80">
        <f t="shared" si="27"/>
        <v>0</v>
      </c>
    </row>
    <row r="80" spans="1:7" x14ac:dyDescent="0.25">
      <c r="A80" s="84" t="s">
        <v>356</v>
      </c>
      <c r="B80" s="158"/>
      <c r="C80" s="158"/>
      <c r="D80" s="158">
        <f t="shared" si="26"/>
        <v>0</v>
      </c>
      <c r="E80" s="158"/>
      <c r="F80" s="158"/>
      <c r="G80" s="80">
        <f t="shared" si="27"/>
        <v>0</v>
      </c>
    </row>
    <row r="81" spans="1:7" x14ac:dyDescent="0.25">
      <c r="A81" s="84" t="s">
        <v>357</v>
      </c>
      <c r="B81" s="158"/>
      <c r="C81" s="158"/>
      <c r="D81" s="158">
        <f t="shared" si="26"/>
        <v>0</v>
      </c>
      <c r="E81" s="158"/>
      <c r="F81" s="158"/>
      <c r="G81" s="80">
        <f t="shared" si="27"/>
        <v>0</v>
      </c>
    </row>
    <row r="82" spans="1:7" x14ac:dyDescent="0.25">
      <c r="A82" s="84" t="s">
        <v>358</v>
      </c>
      <c r="B82" s="158"/>
      <c r="C82" s="158"/>
      <c r="D82" s="158">
        <f t="shared" si="26"/>
        <v>0</v>
      </c>
      <c r="E82" s="158"/>
      <c r="F82" s="158"/>
      <c r="G82" s="80">
        <f t="shared" si="27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28">SUM(C85,C93,C103,C113,C123,C133,C137,C146,C150)</f>
        <v>0</v>
      </c>
      <c r="D84" s="79">
        <f t="shared" si="28"/>
        <v>0</v>
      </c>
      <c r="E84" s="79">
        <f t="shared" si="28"/>
        <v>0</v>
      </c>
      <c r="F84" s="79">
        <f t="shared" si="28"/>
        <v>0</v>
      </c>
      <c r="G84" s="79">
        <f t="shared" si="28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9">SUM(C86:C92)</f>
        <v>0</v>
      </c>
      <c r="D85" s="80">
        <f t="shared" si="29"/>
        <v>0</v>
      </c>
      <c r="E85" s="80">
        <f t="shared" si="29"/>
        <v>0</v>
      </c>
      <c r="F85" s="80">
        <f t="shared" si="29"/>
        <v>0</v>
      </c>
      <c r="G85" s="80">
        <f t="shared" si="29"/>
        <v>0</v>
      </c>
    </row>
    <row r="86" spans="1:7" x14ac:dyDescent="0.25">
      <c r="A86" s="84" t="s">
        <v>287</v>
      </c>
      <c r="B86" s="158"/>
      <c r="C86" s="158"/>
      <c r="D86" s="158">
        <f t="shared" ref="D86:D92" si="30">B86+C86</f>
        <v>0</v>
      </c>
      <c r="E86" s="158"/>
      <c r="F86" s="158"/>
      <c r="G86" s="80">
        <f>D86-E86</f>
        <v>0</v>
      </c>
    </row>
    <row r="87" spans="1:7" x14ac:dyDescent="0.25">
      <c r="A87" s="84" t="s">
        <v>288</v>
      </c>
      <c r="B87" s="158"/>
      <c r="C87" s="158"/>
      <c r="D87" s="158">
        <f t="shared" si="30"/>
        <v>0</v>
      </c>
      <c r="E87" s="158"/>
      <c r="F87" s="158"/>
      <c r="G87" s="80">
        <f t="shared" ref="G87:G92" si="31">D87-E87</f>
        <v>0</v>
      </c>
    </row>
    <row r="88" spans="1:7" x14ac:dyDescent="0.25">
      <c r="A88" s="84" t="s">
        <v>289</v>
      </c>
      <c r="B88" s="158"/>
      <c r="C88" s="158"/>
      <c r="D88" s="158">
        <f t="shared" si="30"/>
        <v>0</v>
      </c>
      <c r="E88" s="158"/>
      <c r="F88" s="158"/>
      <c r="G88" s="80">
        <f t="shared" si="31"/>
        <v>0</v>
      </c>
    </row>
    <row r="89" spans="1:7" x14ac:dyDescent="0.25">
      <c r="A89" s="84" t="s">
        <v>290</v>
      </c>
      <c r="B89" s="158"/>
      <c r="C89" s="158"/>
      <c r="D89" s="158">
        <f t="shared" si="30"/>
        <v>0</v>
      </c>
      <c r="E89" s="158"/>
      <c r="F89" s="158"/>
      <c r="G89" s="80">
        <f t="shared" si="31"/>
        <v>0</v>
      </c>
    </row>
    <row r="90" spans="1:7" x14ac:dyDescent="0.25">
      <c r="A90" s="84" t="s">
        <v>291</v>
      </c>
      <c r="B90" s="158"/>
      <c r="C90" s="158"/>
      <c r="D90" s="158">
        <f t="shared" si="30"/>
        <v>0</v>
      </c>
      <c r="E90" s="158"/>
      <c r="F90" s="158"/>
      <c r="G90" s="80">
        <f t="shared" si="31"/>
        <v>0</v>
      </c>
    </row>
    <row r="91" spans="1:7" x14ac:dyDescent="0.25">
      <c r="A91" s="84" t="s">
        <v>292</v>
      </c>
      <c r="B91" s="158"/>
      <c r="C91" s="158"/>
      <c r="D91" s="158">
        <f t="shared" si="30"/>
        <v>0</v>
      </c>
      <c r="E91" s="158"/>
      <c r="F91" s="158"/>
      <c r="G91" s="80">
        <f t="shared" si="31"/>
        <v>0</v>
      </c>
    </row>
    <row r="92" spans="1:7" x14ac:dyDescent="0.25">
      <c r="A92" s="84" t="s">
        <v>293</v>
      </c>
      <c r="B92" s="158"/>
      <c r="C92" s="158"/>
      <c r="D92" s="158">
        <f t="shared" si="30"/>
        <v>0</v>
      </c>
      <c r="E92" s="158"/>
      <c r="F92" s="158"/>
      <c r="G92" s="80">
        <f t="shared" si="3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32">SUM(C94:C102)</f>
        <v>0</v>
      </c>
      <c r="D93" s="80">
        <f t="shared" si="32"/>
        <v>0</v>
      </c>
      <c r="E93" s="80">
        <f t="shared" si="32"/>
        <v>0</v>
      </c>
      <c r="F93" s="80">
        <f t="shared" si="32"/>
        <v>0</v>
      </c>
      <c r="G93" s="80">
        <f t="shared" si="32"/>
        <v>0</v>
      </c>
    </row>
    <row r="94" spans="1:7" x14ac:dyDescent="0.25">
      <c r="A94" s="84" t="s">
        <v>295</v>
      </c>
      <c r="B94" s="158"/>
      <c r="C94" s="158"/>
      <c r="D94" s="158">
        <f t="shared" ref="D94:D102" si="33">B94+C94</f>
        <v>0</v>
      </c>
      <c r="E94" s="158"/>
      <c r="F94" s="158"/>
      <c r="G94" s="80">
        <f>D94-E94</f>
        <v>0</v>
      </c>
    </row>
    <row r="95" spans="1:7" x14ac:dyDescent="0.25">
      <c r="A95" s="84" t="s">
        <v>296</v>
      </c>
      <c r="B95" s="158"/>
      <c r="C95" s="158"/>
      <c r="D95" s="158">
        <f t="shared" si="33"/>
        <v>0</v>
      </c>
      <c r="E95" s="158"/>
      <c r="F95" s="158"/>
      <c r="G95" s="80">
        <f t="shared" ref="G95:G102" si="34">D95-E95</f>
        <v>0</v>
      </c>
    </row>
    <row r="96" spans="1:7" x14ac:dyDescent="0.25">
      <c r="A96" s="84" t="s">
        <v>297</v>
      </c>
      <c r="B96" s="158"/>
      <c r="C96" s="158"/>
      <c r="D96" s="158">
        <f t="shared" si="33"/>
        <v>0</v>
      </c>
      <c r="E96" s="158"/>
      <c r="F96" s="158"/>
      <c r="G96" s="80">
        <f t="shared" si="34"/>
        <v>0</v>
      </c>
    </row>
    <row r="97" spans="1:7" x14ac:dyDescent="0.25">
      <c r="A97" s="84" t="s">
        <v>298</v>
      </c>
      <c r="B97" s="158"/>
      <c r="C97" s="158"/>
      <c r="D97" s="158">
        <f t="shared" si="33"/>
        <v>0</v>
      </c>
      <c r="E97" s="158"/>
      <c r="F97" s="158"/>
      <c r="G97" s="80">
        <f t="shared" si="34"/>
        <v>0</v>
      </c>
    </row>
    <row r="98" spans="1:7" x14ac:dyDescent="0.25">
      <c r="A98" s="42" t="s">
        <v>299</v>
      </c>
      <c r="B98" s="158"/>
      <c r="C98" s="158"/>
      <c r="D98" s="158">
        <f t="shared" si="33"/>
        <v>0</v>
      </c>
      <c r="E98" s="158"/>
      <c r="F98" s="158"/>
      <c r="G98" s="80">
        <f t="shared" si="34"/>
        <v>0</v>
      </c>
    </row>
    <row r="99" spans="1:7" x14ac:dyDescent="0.25">
      <c r="A99" s="84" t="s">
        <v>300</v>
      </c>
      <c r="B99" s="158"/>
      <c r="C99" s="158"/>
      <c r="D99" s="158">
        <f t="shared" si="33"/>
        <v>0</v>
      </c>
      <c r="E99" s="158"/>
      <c r="F99" s="158"/>
      <c r="G99" s="80">
        <f t="shared" si="34"/>
        <v>0</v>
      </c>
    </row>
    <row r="100" spans="1:7" x14ac:dyDescent="0.25">
      <c r="A100" s="84" t="s">
        <v>301</v>
      </c>
      <c r="B100" s="158"/>
      <c r="C100" s="158"/>
      <c r="D100" s="158">
        <f t="shared" si="33"/>
        <v>0</v>
      </c>
      <c r="E100" s="158"/>
      <c r="F100" s="158"/>
      <c r="G100" s="80">
        <f t="shared" si="34"/>
        <v>0</v>
      </c>
    </row>
    <row r="101" spans="1:7" x14ac:dyDescent="0.25">
      <c r="A101" s="84" t="s">
        <v>302</v>
      </c>
      <c r="B101" s="158"/>
      <c r="C101" s="158"/>
      <c r="D101" s="158">
        <f t="shared" si="33"/>
        <v>0</v>
      </c>
      <c r="E101" s="158"/>
      <c r="F101" s="158"/>
      <c r="G101" s="80">
        <f t="shared" si="34"/>
        <v>0</v>
      </c>
    </row>
    <row r="102" spans="1:7" x14ac:dyDescent="0.25">
      <c r="A102" s="84" t="s">
        <v>303</v>
      </c>
      <c r="B102" s="158"/>
      <c r="C102" s="158"/>
      <c r="D102" s="158">
        <f t="shared" si="33"/>
        <v>0</v>
      </c>
      <c r="E102" s="158"/>
      <c r="F102" s="158"/>
      <c r="G102" s="80">
        <f t="shared" si="34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5">SUM(D104:D112)</f>
        <v>0</v>
      </c>
      <c r="E103" s="80">
        <f t="shared" si="35"/>
        <v>0</v>
      </c>
      <c r="F103" s="80">
        <f t="shared" si="35"/>
        <v>0</v>
      </c>
      <c r="G103" s="80">
        <f t="shared" si="35"/>
        <v>0</v>
      </c>
    </row>
    <row r="104" spans="1:7" x14ac:dyDescent="0.25">
      <c r="A104" s="84" t="s">
        <v>305</v>
      </c>
      <c r="B104" s="158"/>
      <c r="C104" s="158"/>
      <c r="D104" s="158">
        <f t="shared" ref="D104:D112" si="36">B104+C104</f>
        <v>0</v>
      </c>
      <c r="E104" s="158"/>
      <c r="F104" s="158"/>
      <c r="G104" s="80">
        <f>D104-E104</f>
        <v>0</v>
      </c>
    </row>
    <row r="105" spans="1:7" x14ac:dyDescent="0.25">
      <c r="A105" s="84" t="s">
        <v>306</v>
      </c>
      <c r="B105" s="158"/>
      <c r="C105" s="158"/>
      <c r="D105" s="158">
        <f t="shared" si="36"/>
        <v>0</v>
      </c>
      <c r="E105" s="158"/>
      <c r="F105" s="158"/>
      <c r="G105" s="80">
        <f t="shared" ref="G105:G112" si="37">D105-E105</f>
        <v>0</v>
      </c>
    </row>
    <row r="106" spans="1:7" x14ac:dyDescent="0.25">
      <c r="A106" s="84" t="s">
        <v>307</v>
      </c>
      <c r="B106" s="158"/>
      <c r="C106" s="158"/>
      <c r="D106" s="158">
        <f t="shared" si="36"/>
        <v>0</v>
      </c>
      <c r="E106" s="158"/>
      <c r="F106" s="158"/>
      <c r="G106" s="80">
        <f t="shared" si="37"/>
        <v>0</v>
      </c>
    </row>
    <row r="107" spans="1:7" x14ac:dyDescent="0.25">
      <c r="A107" s="84" t="s">
        <v>308</v>
      </c>
      <c r="B107" s="158"/>
      <c r="C107" s="158"/>
      <c r="D107" s="158">
        <f t="shared" si="36"/>
        <v>0</v>
      </c>
      <c r="E107" s="158"/>
      <c r="F107" s="158"/>
      <c r="G107" s="80">
        <f t="shared" si="37"/>
        <v>0</v>
      </c>
    </row>
    <row r="108" spans="1:7" x14ac:dyDescent="0.25">
      <c r="A108" s="84" t="s">
        <v>309</v>
      </c>
      <c r="B108" s="158"/>
      <c r="C108" s="158"/>
      <c r="D108" s="158">
        <f t="shared" si="36"/>
        <v>0</v>
      </c>
      <c r="E108" s="158"/>
      <c r="F108" s="158"/>
      <c r="G108" s="80">
        <f t="shared" si="37"/>
        <v>0</v>
      </c>
    </row>
    <row r="109" spans="1:7" x14ac:dyDescent="0.25">
      <c r="A109" s="84" t="s">
        <v>310</v>
      </c>
      <c r="B109" s="158"/>
      <c r="C109" s="158"/>
      <c r="D109" s="158">
        <f t="shared" si="36"/>
        <v>0</v>
      </c>
      <c r="E109" s="158"/>
      <c r="F109" s="158"/>
      <c r="G109" s="80">
        <f t="shared" si="37"/>
        <v>0</v>
      </c>
    </row>
    <row r="110" spans="1:7" x14ac:dyDescent="0.25">
      <c r="A110" s="84" t="s">
        <v>311</v>
      </c>
      <c r="B110" s="158"/>
      <c r="C110" s="158"/>
      <c r="D110" s="158">
        <f t="shared" si="36"/>
        <v>0</v>
      </c>
      <c r="E110" s="158"/>
      <c r="F110" s="158"/>
      <c r="G110" s="80">
        <f t="shared" si="37"/>
        <v>0</v>
      </c>
    </row>
    <row r="111" spans="1:7" x14ac:dyDescent="0.25">
      <c r="A111" s="84" t="s">
        <v>312</v>
      </c>
      <c r="B111" s="158"/>
      <c r="C111" s="158"/>
      <c r="D111" s="158">
        <f t="shared" si="36"/>
        <v>0</v>
      </c>
      <c r="E111" s="158"/>
      <c r="F111" s="158"/>
      <c r="G111" s="80">
        <f t="shared" si="37"/>
        <v>0</v>
      </c>
    </row>
    <row r="112" spans="1:7" x14ac:dyDescent="0.25">
      <c r="A112" s="84" t="s">
        <v>313</v>
      </c>
      <c r="B112" s="158"/>
      <c r="C112" s="158"/>
      <c r="D112" s="158">
        <f t="shared" si="36"/>
        <v>0</v>
      </c>
      <c r="E112" s="158"/>
      <c r="F112" s="158"/>
      <c r="G112" s="80">
        <f t="shared" si="37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8">SUM(C114:C122)</f>
        <v>0</v>
      </c>
      <c r="D113" s="80">
        <f t="shared" si="38"/>
        <v>0</v>
      </c>
      <c r="E113" s="80">
        <f t="shared" si="38"/>
        <v>0</v>
      </c>
      <c r="F113" s="80">
        <f t="shared" si="38"/>
        <v>0</v>
      </c>
      <c r="G113" s="80">
        <f t="shared" si="38"/>
        <v>0</v>
      </c>
    </row>
    <row r="114" spans="1:7" x14ac:dyDescent="0.25">
      <c r="A114" s="84" t="s">
        <v>315</v>
      </c>
      <c r="B114" s="158"/>
      <c r="C114" s="158"/>
      <c r="D114" s="158">
        <f t="shared" ref="D114:D122" si="39">B114+C114</f>
        <v>0</v>
      </c>
      <c r="E114" s="158"/>
      <c r="F114" s="158"/>
      <c r="G114" s="80">
        <f>D114-E114</f>
        <v>0</v>
      </c>
    </row>
    <row r="115" spans="1:7" x14ac:dyDescent="0.25">
      <c r="A115" s="84" t="s">
        <v>316</v>
      </c>
      <c r="B115" s="158"/>
      <c r="C115" s="158"/>
      <c r="D115" s="158">
        <f t="shared" si="39"/>
        <v>0</v>
      </c>
      <c r="E115" s="158"/>
      <c r="F115" s="158"/>
      <c r="G115" s="80">
        <f t="shared" ref="G115:G122" si="40">D115-E115</f>
        <v>0</v>
      </c>
    </row>
    <row r="116" spans="1:7" x14ac:dyDescent="0.25">
      <c r="A116" s="84" t="s">
        <v>317</v>
      </c>
      <c r="B116" s="158"/>
      <c r="C116" s="158"/>
      <c r="D116" s="158">
        <f t="shared" si="39"/>
        <v>0</v>
      </c>
      <c r="E116" s="158"/>
      <c r="F116" s="158"/>
      <c r="G116" s="80">
        <f t="shared" si="40"/>
        <v>0</v>
      </c>
    </row>
    <row r="117" spans="1:7" x14ac:dyDescent="0.25">
      <c r="A117" s="84" t="s">
        <v>318</v>
      </c>
      <c r="B117" s="158"/>
      <c r="C117" s="158"/>
      <c r="D117" s="158">
        <f t="shared" si="39"/>
        <v>0</v>
      </c>
      <c r="E117" s="158"/>
      <c r="F117" s="158"/>
      <c r="G117" s="80">
        <f t="shared" si="40"/>
        <v>0</v>
      </c>
    </row>
    <row r="118" spans="1:7" x14ac:dyDescent="0.25">
      <c r="A118" s="84" t="s">
        <v>319</v>
      </c>
      <c r="B118" s="158"/>
      <c r="C118" s="158"/>
      <c r="D118" s="158">
        <f t="shared" si="39"/>
        <v>0</v>
      </c>
      <c r="E118" s="158"/>
      <c r="F118" s="158"/>
      <c r="G118" s="80">
        <f t="shared" si="40"/>
        <v>0</v>
      </c>
    </row>
    <row r="119" spans="1:7" x14ac:dyDescent="0.25">
      <c r="A119" s="84" t="s">
        <v>320</v>
      </c>
      <c r="B119" s="158"/>
      <c r="C119" s="158"/>
      <c r="D119" s="158">
        <f t="shared" si="39"/>
        <v>0</v>
      </c>
      <c r="E119" s="158"/>
      <c r="F119" s="158"/>
      <c r="G119" s="80">
        <f t="shared" si="40"/>
        <v>0</v>
      </c>
    </row>
    <row r="120" spans="1:7" x14ac:dyDescent="0.25">
      <c r="A120" s="84" t="s">
        <v>321</v>
      </c>
      <c r="B120" s="158"/>
      <c r="C120" s="158"/>
      <c r="D120" s="158">
        <f t="shared" si="39"/>
        <v>0</v>
      </c>
      <c r="E120" s="158"/>
      <c r="F120" s="158"/>
      <c r="G120" s="80">
        <f t="shared" si="40"/>
        <v>0</v>
      </c>
    </row>
    <row r="121" spans="1:7" x14ac:dyDescent="0.25">
      <c r="A121" s="84" t="s">
        <v>322</v>
      </c>
      <c r="B121" s="158"/>
      <c r="C121" s="158"/>
      <c r="D121" s="158">
        <f t="shared" si="39"/>
        <v>0</v>
      </c>
      <c r="E121" s="158"/>
      <c r="F121" s="158"/>
      <c r="G121" s="80">
        <f t="shared" si="40"/>
        <v>0</v>
      </c>
    </row>
    <row r="122" spans="1:7" x14ac:dyDescent="0.25">
      <c r="A122" s="84" t="s">
        <v>323</v>
      </c>
      <c r="B122" s="158"/>
      <c r="C122" s="158"/>
      <c r="D122" s="158">
        <f t="shared" si="39"/>
        <v>0</v>
      </c>
      <c r="E122" s="158"/>
      <c r="F122" s="158"/>
      <c r="G122" s="80">
        <f t="shared" si="40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41">SUM(C124:C132)</f>
        <v>0</v>
      </c>
      <c r="D123" s="80">
        <f t="shared" si="41"/>
        <v>0</v>
      </c>
      <c r="E123" s="80">
        <f t="shared" si="41"/>
        <v>0</v>
      </c>
      <c r="F123" s="80">
        <f t="shared" si="41"/>
        <v>0</v>
      </c>
      <c r="G123" s="80">
        <f t="shared" si="41"/>
        <v>0</v>
      </c>
    </row>
    <row r="124" spans="1:7" x14ac:dyDescent="0.25">
      <c r="A124" s="84" t="s">
        <v>325</v>
      </c>
      <c r="B124" s="158"/>
      <c r="C124" s="158"/>
      <c r="D124" s="158">
        <f t="shared" ref="D124:D132" si="42">B124+C124</f>
        <v>0</v>
      </c>
      <c r="E124" s="158"/>
      <c r="F124" s="158"/>
      <c r="G124" s="80">
        <f>D124-E124</f>
        <v>0</v>
      </c>
    </row>
    <row r="125" spans="1:7" x14ac:dyDescent="0.25">
      <c r="A125" s="84" t="s">
        <v>326</v>
      </c>
      <c r="B125" s="158"/>
      <c r="C125" s="158"/>
      <c r="D125" s="158">
        <f t="shared" si="42"/>
        <v>0</v>
      </c>
      <c r="E125" s="158"/>
      <c r="F125" s="158"/>
      <c r="G125" s="80">
        <f t="shared" ref="G125:G132" si="43">D125-E125</f>
        <v>0</v>
      </c>
    </row>
    <row r="126" spans="1:7" x14ac:dyDescent="0.25">
      <c r="A126" s="84" t="s">
        <v>327</v>
      </c>
      <c r="B126" s="158"/>
      <c r="C126" s="158"/>
      <c r="D126" s="158">
        <f t="shared" si="42"/>
        <v>0</v>
      </c>
      <c r="E126" s="158"/>
      <c r="F126" s="158"/>
      <c r="G126" s="80">
        <f t="shared" si="43"/>
        <v>0</v>
      </c>
    </row>
    <row r="127" spans="1:7" x14ac:dyDescent="0.25">
      <c r="A127" s="84" t="s">
        <v>328</v>
      </c>
      <c r="B127" s="158"/>
      <c r="C127" s="158"/>
      <c r="D127" s="158">
        <f t="shared" si="42"/>
        <v>0</v>
      </c>
      <c r="E127" s="158"/>
      <c r="F127" s="158"/>
      <c r="G127" s="80">
        <f t="shared" si="43"/>
        <v>0</v>
      </c>
    </row>
    <row r="128" spans="1:7" x14ac:dyDescent="0.25">
      <c r="A128" s="84" t="s">
        <v>329</v>
      </c>
      <c r="B128" s="158"/>
      <c r="C128" s="158"/>
      <c r="D128" s="158">
        <f t="shared" si="42"/>
        <v>0</v>
      </c>
      <c r="E128" s="158"/>
      <c r="F128" s="158"/>
      <c r="G128" s="80">
        <f t="shared" si="43"/>
        <v>0</v>
      </c>
    </row>
    <row r="129" spans="1:7" x14ac:dyDescent="0.25">
      <c r="A129" s="84" t="s">
        <v>330</v>
      </c>
      <c r="B129" s="158"/>
      <c r="C129" s="158"/>
      <c r="D129" s="158">
        <f t="shared" si="42"/>
        <v>0</v>
      </c>
      <c r="E129" s="158"/>
      <c r="F129" s="158"/>
      <c r="G129" s="80">
        <f t="shared" si="43"/>
        <v>0</v>
      </c>
    </row>
    <row r="130" spans="1:7" x14ac:dyDescent="0.25">
      <c r="A130" s="84" t="s">
        <v>331</v>
      </c>
      <c r="B130" s="158"/>
      <c r="C130" s="158"/>
      <c r="D130" s="158">
        <f t="shared" si="42"/>
        <v>0</v>
      </c>
      <c r="E130" s="158"/>
      <c r="F130" s="158"/>
      <c r="G130" s="80">
        <f t="shared" si="43"/>
        <v>0</v>
      </c>
    </row>
    <row r="131" spans="1:7" x14ac:dyDescent="0.25">
      <c r="A131" s="84" t="s">
        <v>332</v>
      </c>
      <c r="B131" s="158"/>
      <c r="C131" s="158"/>
      <c r="D131" s="158">
        <f t="shared" si="42"/>
        <v>0</v>
      </c>
      <c r="E131" s="158"/>
      <c r="F131" s="158"/>
      <c r="G131" s="80">
        <f t="shared" si="43"/>
        <v>0</v>
      </c>
    </row>
    <row r="132" spans="1:7" x14ac:dyDescent="0.25">
      <c r="A132" s="84" t="s">
        <v>333</v>
      </c>
      <c r="B132" s="158"/>
      <c r="C132" s="158"/>
      <c r="D132" s="158">
        <f t="shared" si="42"/>
        <v>0</v>
      </c>
      <c r="E132" s="158"/>
      <c r="F132" s="158"/>
      <c r="G132" s="80">
        <f t="shared" si="43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44">SUM(C134:C136)</f>
        <v>0</v>
      </c>
      <c r="D133" s="80">
        <f t="shared" si="44"/>
        <v>0</v>
      </c>
      <c r="E133" s="80">
        <f t="shared" si="44"/>
        <v>0</v>
      </c>
      <c r="F133" s="80">
        <f t="shared" si="44"/>
        <v>0</v>
      </c>
      <c r="G133" s="80">
        <f t="shared" si="44"/>
        <v>0</v>
      </c>
    </row>
    <row r="134" spans="1:7" x14ac:dyDescent="0.25">
      <c r="A134" s="84" t="s">
        <v>335</v>
      </c>
      <c r="B134" s="158"/>
      <c r="C134" s="158"/>
      <c r="D134" s="158">
        <f t="shared" ref="D134:D136" si="45">B134+C134</f>
        <v>0</v>
      </c>
      <c r="E134" s="158"/>
      <c r="F134" s="158"/>
      <c r="G134" s="80">
        <f>D134-E134</f>
        <v>0</v>
      </c>
    </row>
    <row r="135" spans="1:7" x14ac:dyDescent="0.25">
      <c r="A135" s="84" t="s">
        <v>336</v>
      </c>
      <c r="B135" s="158"/>
      <c r="C135" s="158"/>
      <c r="D135" s="158">
        <f t="shared" si="45"/>
        <v>0</v>
      </c>
      <c r="E135" s="158"/>
      <c r="F135" s="158"/>
      <c r="G135" s="80">
        <f t="shared" ref="G135:G136" si="46">D135-E135</f>
        <v>0</v>
      </c>
    </row>
    <row r="136" spans="1:7" x14ac:dyDescent="0.25">
      <c r="A136" s="84" t="s">
        <v>337</v>
      </c>
      <c r="B136" s="158"/>
      <c r="C136" s="158"/>
      <c r="D136" s="158">
        <f t="shared" si="45"/>
        <v>0</v>
      </c>
      <c r="E136" s="158"/>
      <c r="F136" s="158"/>
      <c r="G136" s="80">
        <f t="shared" si="46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47">SUM(C138:C142,C144:C145)</f>
        <v>0</v>
      </c>
      <c r="D137" s="80">
        <f t="shared" si="47"/>
        <v>0</v>
      </c>
      <c r="E137" s="80">
        <f t="shared" si="47"/>
        <v>0</v>
      </c>
      <c r="F137" s="80">
        <f t="shared" si="47"/>
        <v>0</v>
      </c>
      <c r="G137" s="80">
        <f t="shared" si="47"/>
        <v>0</v>
      </c>
    </row>
    <row r="138" spans="1:7" x14ac:dyDescent="0.25">
      <c r="A138" s="84" t="s">
        <v>339</v>
      </c>
      <c r="B138" s="158"/>
      <c r="C138" s="158"/>
      <c r="D138" s="158">
        <f t="shared" ref="D138:D145" si="48">B138+C138</f>
        <v>0</v>
      </c>
      <c r="E138" s="158"/>
      <c r="F138" s="158"/>
      <c r="G138" s="80">
        <f>D138-E138</f>
        <v>0</v>
      </c>
    </row>
    <row r="139" spans="1:7" x14ac:dyDescent="0.25">
      <c r="A139" s="84" t="s">
        <v>340</v>
      </c>
      <c r="B139" s="158"/>
      <c r="C139" s="158"/>
      <c r="D139" s="158">
        <f t="shared" si="48"/>
        <v>0</v>
      </c>
      <c r="E139" s="158"/>
      <c r="F139" s="158"/>
      <c r="G139" s="80">
        <f t="shared" ref="G139:G145" si="49">D139-E139</f>
        <v>0</v>
      </c>
    </row>
    <row r="140" spans="1:7" x14ac:dyDescent="0.25">
      <c r="A140" s="84" t="s">
        <v>341</v>
      </c>
      <c r="B140" s="158"/>
      <c r="C140" s="158"/>
      <c r="D140" s="158">
        <f t="shared" si="48"/>
        <v>0</v>
      </c>
      <c r="E140" s="158"/>
      <c r="F140" s="158"/>
      <c r="G140" s="80">
        <f t="shared" si="49"/>
        <v>0</v>
      </c>
    </row>
    <row r="141" spans="1:7" x14ac:dyDescent="0.25">
      <c r="A141" s="84" t="s">
        <v>342</v>
      </c>
      <c r="B141" s="158"/>
      <c r="C141" s="158"/>
      <c r="D141" s="158">
        <f t="shared" si="48"/>
        <v>0</v>
      </c>
      <c r="E141" s="158"/>
      <c r="F141" s="158"/>
      <c r="G141" s="80">
        <f t="shared" si="49"/>
        <v>0</v>
      </c>
    </row>
    <row r="142" spans="1:7" x14ac:dyDescent="0.25">
      <c r="A142" s="84" t="s">
        <v>343</v>
      </c>
      <c r="B142" s="158"/>
      <c r="C142" s="158"/>
      <c r="D142" s="158">
        <f t="shared" si="48"/>
        <v>0</v>
      </c>
      <c r="E142" s="158"/>
      <c r="F142" s="158"/>
      <c r="G142" s="80">
        <f t="shared" si="49"/>
        <v>0</v>
      </c>
    </row>
    <row r="143" spans="1:7" x14ac:dyDescent="0.25">
      <c r="A143" s="84" t="s">
        <v>3301</v>
      </c>
      <c r="B143" s="158"/>
      <c r="C143" s="158"/>
      <c r="D143" s="158">
        <f t="shared" si="48"/>
        <v>0</v>
      </c>
      <c r="E143" s="158"/>
      <c r="F143" s="158"/>
      <c r="G143" s="80">
        <f t="shared" si="49"/>
        <v>0</v>
      </c>
    </row>
    <row r="144" spans="1:7" x14ac:dyDescent="0.25">
      <c r="A144" s="84" t="s">
        <v>345</v>
      </c>
      <c r="B144" s="158"/>
      <c r="C144" s="158"/>
      <c r="D144" s="158">
        <f t="shared" si="48"/>
        <v>0</v>
      </c>
      <c r="E144" s="158"/>
      <c r="F144" s="158"/>
      <c r="G144" s="80">
        <f t="shared" si="49"/>
        <v>0</v>
      </c>
    </row>
    <row r="145" spans="1:7" x14ac:dyDescent="0.25">
      <c r="A145" s="84" t="s">
        <v>346</v>
      </c>
      <c r="B145" s="158"/>
      <c r="C145" s="158"/>
      <c r="D145" s="158">
        <f t="shared" si="48"/>
        <v>0</v>
      </c>
      <c r="E145" s="158"/>
      <c r="F145" s="158"/>
      <c r="G145" s="80">
        <f t="shared" si="49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50">SUM(C147:C149)</f>
        <v>0</v>
      </c>
      <c r="D146" s="80">
        <f t="shared" si="50"/>
        <v>0</v>
      </c>
      <c r="E146" s="80">
        <f t="shared" si="50"/>
        <v>0</v>
      </c>
      <c r="F146" s="80">
        <f t="shared" si="50"/>
        <v>0</v>
      </c>
      <c r="G146" s="80">
        <f t="shared" si="50"/>
        <v>0</v>
      </c>
    </row>
    <row r="147" spans="1:7" x14ac:dyDescent="0.25">
      <c r="A147" s="84" t="s">
        <v>348</v>
      </c>
      <c r="B147" s="158"/>
      <c r="C147" s="158"/>
      <c r="D147" s="158">
        <f t="shared" ref="D147:D149" si="51">B147+C147</f>
        <v>0</v>
      </c>
      <c r="E147" s="158"/>
      <c r="F147" s="158"/>
      <c r="G147" s="80">
        <f>D147-E147</f>
        <v>0</v>
      </c>
    </row>
    <row r="148" spans="1:7" x14ac:dyDescent="0.25">
      <c r="A148" s="84" t="s">
        <v>349</v>
      </c>
      <c r="B148" s="158"/>
      <c r="C148" s="158"/>
      <c r="D148" s="158">
        <f t="shared" si="51"/>
        <v>0</v>
      </c>
      <c r="E148" s="158"/>
      <c r="F148" s="158"/>
      <c r="G148" s="80">
        <f t="shared" ref="G148:G149" si="52">D148-E148</f>
        <v>0</v>
      </c>
    </row>
    <row r="149" spans="1:7" x14ac:dyDescent="0.25">
      <c r="A149" s="84" t="s">
        <v>350</v>
      </c>
      <c r="B149" s="158"/>
      <c r="C149" s="158"/>
      <c r="D149" s="158">
        <f t="shared" si="51"/>
        <v>0</v>
      </c>
      <c r="E149" s="158"/>
      <c r="F149" s="158"/>
      <c r="G149" s="80">
        <f t="shared" si="52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53">SUM(C151:C157)</f>
        <v>0</v>
      </c>
      <c r="D150" s="80">
        <f t="shared" si="53"/>
        <v>0</v>
      </c>
      <c r="E150" s="80">
        <f t="shared" si="53"/>
        <v>0</v>
      </c>
      <c r="F150" s="80">
        <f t="shared" si="53"/>
        <v>0</v>
      </c>
      <c r="G150" s="80">
        <f t="shared" si="53"/>
        <v>0</v>
      </c>
    </row>
    <row r="151" spans="1:7" x14ac:dyDescent="0.25">
      <c r="A151" s="84" t="s">
        <v>352</v>
      </c>
      <c r="B151" s="158"/>
      <c r="C151" s="158"/>
      <c r="D151" s="158">
        <f t="shared" ref="D151:D157" si="54">B151+C151</f>
        <v>0</v>
      </c>
      <c r="E151" s="158"/>
      <c r="F151" s="158"/>
      <c r="G151" s="80">
        <f>D151-E151</f>
        <v>0</v>
      </c>
    </row>
    <row r="152" spans="1:7" x14ac:dyDescent="0.25">
      <c r="A152" s="84" t="s">
        <v>353</v>
      </c>
      <c r="B152" s="158"/>
      <c r="C152" s="158"/>
      <c r="D152" s="158">
        <f t="shared" si="54"/>
        <v>0</v>
      </c>
      <c r="E152" s="158"/>
      <c r="F152" s="158"/>
      <c r="G152" s="80">
        <f t="shared" ref="G152:G157" si="55">D152-E152</f>
        <v>0</v>
      </c>
    </row>
    <row r="153" spans="1:7" x14ac:dyDescent="0.25">
      <c r="A153" s="84" t="s">
        <v>354</v>
      </c>
      <c r="B153" s="158"/>
      <c r="C153" s="158"/>
      <c r="D153" s="158">
        <f t="shared" si="54"/>
        <v>0</v>
      </c>
      <c r="E153" s="158"/>
      <c r="F153" s="158"/>
      <c r="G153" s="80">
        <f t="shared" si="55"/>
        <v>0</v>
      </c>
    </row>
    <row r="154" spans="1:7" x14ac:dyDescent="0.25">
      <c r="A154" s="42" t="s">
        <v>355</v>
      </c>
      <c r="B154" s="158"/>
      <c r="C154" s="158"/>
      <c r="D154" s="158">
        <f t="shared" si="54"/>
        <v>0</v>
      </c>
      <c r="E154" s="158"/>
      <c r="F154" s="158"/>
      <c r="G154" s="80">
        <f t="shared" si="55"/>
        <v>0</v>
      </c>
    </row>
    <row r="155" spans="1:7" x14ac:dyDescent="0.25">
      <c r="A155" s="84" t="s">
        <v>356</v>
      </c>
      <c r="B155" s="158"/>
      <c r="C155" s="158"/>
      <c r="D155" s="158">
        <f t="shared" si="54"/>
        <v>0</v>
      </c>
      <c r="E155" s="158"/>
      <c r="F155" s="158"/>
      <c r="G155" s="80">
        <f t="shared" si="55"/>
        <v>0</v>
      </c>
    </row>
    <row r="156" spans="1:7" x14ac:dyDescent="0.25">
      <c r="A156" s="84" t="s">
        <v>357</v>
      </c>
      <c r="B156" s="158"/>
      <c r="C156" s="158"/>
      <c r="D156" s="158">
        <f t="shared" si="54"/>
        <v>0</v>
      </c>
      <c r="E156" s="158"/>
      <c r="F156" s="158"/>
      <c r="G156" s="80">
        <f t="shared" si="55"/>
        <v>0</v>
      </c>
    </row>
    <row r="157" spans="1:7" x14ac:dyDescent="0.25">
      <c r="A157" s="84" t="s">
        <v>358</v>
      </c>
      <c r="B157" s="158"/>
      <c r="C157" s="158"/>
      <c r="D157" s="158">
        <f t="shared" si="54"/>
        <v>0</v>
      </c>
      <c r="E157" s="158"/>
      <c r="F157" s="158"/>
      <c r="G157" s="80">
        <f t="shared" si="55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62406668.469999999</v>
      </c>
      <c r="C159" s="79">
        <f t="shared" ref="C159:G159" si="56">C9+C84</f>
        <v>9084969.9900000002</v>
      </c>
      <c r="D159" s="79">
        <f t="shared" si="56"/>
        <v>71491638.460000008</v>
      </c>
      <c r="E159" s="79">
        <f t="shared" si="56"/>
        <v>44724666.850000001</v>
      </c>
      <c r="F159" s="79">
        <f t="shared" si="56"/>
        <v>40775466.390000001</v>
      </c>
      <c r="G159" s="79">
        <f t="shared" si="56"/>
        <v>26766971.609999999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62406668.469999999</v>
      </c>
      <c r="Q2" s="18">
        <f>'Formato 6 a)'!C9</f>
        <v>9084969.9900000002</v>
      </c>
      <c r="R2" s="18">
        <f>'Formato 6 a)'!D9</f>
        <v>71491638.460000008</v>
      </c>
      <c r="S2" s="18">
        <f>'Formato 6 a)'!E9</f>
        <v>44724666.850000001</v>
      </c>
      <c r="T2" s="18">
        <f>'Formato 6 a)'!F9</f>
        <v>40775466.390000001</v>
      </c>
      <c r="U2" s="18">
        <f>'Formato 6 a)'!G9</f>
        <v>26766971.609999999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23499091.469999999</v>
      </c>
      <c r="Q3" s="18">
        <f>'Formato 6 a)'!C10</f>
        <v>569512.99999999988</v>
      </c>
      <c r="R3" s="18">
        <f>'Formato 6 a)'!D10</f>
        <v>24068604.470000003</v>
      </c>
      <c r="S3" s="18">
        <f>'Formato 6 a)'!E10</f>
        <v>14496647.289999997</v>
      </c>
      <c r="T3" s="18">
        <f>'Formato 6 a)'!F10</f>
        <v>14496647.289999997</v>
      </c>
      <c r="U3" s="18">
        <f>'Formato 6 a)'!G10</f>
        <v>9571957.1799999997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12008055.470000001</v>
      </c>
      <c r="Q4" s="18">
        <f>'Formato 6 a)'!C11</f>
        <v>512901.86</v>
      </c>
      <c r="R4" s="18">
        <f>'Formato 6 a)'!D11</f>
        <v>12520957.33</v>
      </c>
      <c r="S4" s="18">
        <f>'Formato 6 a)'!E11</f>
        <v>8605084.0199999996</v>
      </c>
      <c r="T4" s="18">
        <f>'Formato 6 a)'!F11</f>
        <v>8605084.0199999996</v>
      </c>
      <c r="U4" s="18">
        <f>'Formato 6 a)'!G11</f>
        <v>3915873.3100000005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934456</v>
      </c>
      <c r="Q5" s="18">
        <f>'Formato 6 a)'!C12</f>
        <v>18690</v>
      </c>
      <c r="R5" s="18">
        <f>'Formato 6 a)'!D12</f>
        <v>953146</v>
      </c>
      <c r="S5" s="18">
        <f>'Formato 6 a)'!E12</f>
        <v>507214.62</v>
      </c>
      <c r="T5" s="18">
        <f>'Formato 6 a)'!F12</f>
        <v>507214.62</v>
      </c>
      <c r="U5" s="18">
        <f>'Formato 6 a)'!G12</f>
        <v>445931.38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2788268</v>
      </c>
      <c r="Q6" s="18">
        <f>'Formato 6 a)'!C13</f>
        <v>243574.38</v>
      </c>
      <c r="R6" s="18">
        <f>'Formato 6 a)'!D13</f>
        <v>3031842.38</v>
      </c>
      <c r="S6" s="18">
        <f>'Formato 6 a)'!E13</f>
        <v>717143.12</v>
      </c>
      <c r="T6" s="18">
        <f>'Formato 6 a)'!F13</f>
        <v>717143.12</v>
      </c>
      <c r="U6" s="18">
        <f>'Formato 6 a)'!G13</f>
        <v>2314699.2599999998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2875066</v>
      </c>
      <c r="Q7" s="18">
        <f>'Formato 6 a)'!C14</f>
        <v>195341.02</v>
      </c>
      <c r="R7" s="18">
        <f>'Formato 6 a)'!D14</f>
        <v>3070407.02</v>
      </c>
      <c r="S7" s="18">
        <f>'Formato 6 a)'!E14</f>
        <v>2082506.42</v>
      </c>
      <c r="T7" s="18">
        <f>'Formato 6 a)'!F14</f>
        <v>2082506.42</v>
      </c>
      <c r="U7" s="18">
        <f>'Formato 6 a)'!G14</f>
        <v>987900.60000000009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3360310</v>
      </c>
      <c r="Q8" s="18">
        <f>'Formato 6 a)'!C15</f>
        <v>442076.37</v>
      </c>
      <c r="R8" s="18">
        <f>'Formato 6 a)'!D15</f>
        <v>3802386.37</v>
      </c>
      <c r="S8" s="18">
        <f>'Formato 6 a)'!E15</f>
        <v>2584699.11</v>
      </c>
      <c r="T8" s="18">
        <f>'Formato 6 a)'!F15</f>
        <v>2584699.11</v>
      </c>
      <c r="U8" s="18">
        <f>'Formato 6 a)'!G15</f>
        <v>1217687.2600000002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1532936</v>
      </c>
      <c r="Q9" s="18">
        <f>'Formato 6 a)'!C16</f>
        <v>-843070.63</v>
      </c>
      <c r="R9" s="18">
        <f>'Formato 6 a)'!D16</f>
        <v>689865.37</v>
      </c>
      <c r="S9" s="18">
        <f>'Formato 6 a)'!E16</f>
        <v>0</v>
      </c>
      <c r="T9" s="18">
        <f>'Formato 6 a)'!F16</f>
        <v>0</v>
      </c>
      <c r="U9" s="18">
        <f>'Formato 6 a)'!G16</f>
        <v>689865.37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7578644</v>
      </c>
      <c r="Q11" s="18">
        <f>'Formato 6 a)'!C18</f>
        <v>1630849.97</v>
      </c>
      <c r="R11" s="18">
        <f>'Formato 6 a)'!D18</f>
        <v>9209493.9699999988</v>
      </c>
      <c r="S11" s="18">
        <f>'Formato 6 a)'!E18</f>
        <v>5151037.58</v>
      </c>
      <c r="T11" s="18">
        <f>'Formato 6 a)'!F18</f>
        <v>5047724.58</v>
      </c>
      <c r="U11" s="18">
        <f>'Formato 6 a)'!G18</f>
        <v>4058456.3899999992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577813</v>
      </c>
      <c r="Q12" s="18">
        <f>'Formato 6 a)'!C19</f>
        <v>300423.26</v>
      </c>
      <c r="R12" s="18">
        <f>'Formato 6 a)'!D19</f>
        <v>878236.26</v>
      </c>
      <c r="S12" s="18">
        <f>'Formato 6 a)'!E19</f>
        <v>639290.91</v>
      </c>
      <c r="T12" s="18">
        <f>'Formato 6 a)'!F19</f>
        <v>639290.91</v>
      </c>
      <c r="U12" s="18">
        <f>'Formato 6 a)'!G19</f>
        <v>238945.34999999998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80084</v>
      </c>
      <c r="Q13" s="18">
        <f>'Formato 6 a)'!C20</f>
        <v>10650</v>
      </c>
      <c r="R13" s="18">
        <f>'Formato 6 a)'!D20</f>
        <v>90734</v>
      </c>
      <c r="S13" s="18">
        <f>'Formato 6 a)'!E20</f>
        <v>70704.13</v>
      </c>
      <c r="T13" s="18">
        <f>'Formato 6 a)'!F20</f>
        <v>62981.13</v>
      </c>
      <c r="U13" s="18">
        <f>'Formato 6 a)'!G20</f>
        <v>20029.869999999995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4158216</v>
      </c>
      <c r="Q15" s="18">
        <f>'Formato 6 a)'!C22</f>
        <v>981033.52</v>
      </c>
      <c r="R15" s="18">
        <f>'Formato 6 a)'!D22</f>
        <v>5139249.5199999996</v>
      </c>
      <c r="S15" s="18">
        <f>'Formato 6 a)'!E22</f>
        <v>2553626.83</v>
      </c>
      <c r="T15" s="18">
        <f>'Formato 6 a)'!F22</f>
        <v>2458036.83</v>
      </c>
      <c r="U15" s="18">
        <f>'Formato 6 a)'!G22</f>
        <v>2585622.6899999995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1039608</v>
      </c>
      <c r="Q16" s="18">
        <f>'Formato 6 a)'!C23</f>
        <v>283362</v>
      </c>
      <c r="R16" s="18">
        <f>'Formato 6 a)'!D23</f>
        <v>1322970</v>
      </c>
      <c r="S16" s="18">
        <f>'Formato 6 a)'!E23</f>
        <v>700348.97</v>
      </c>
      <c r="T16" s="18">
        <f>'Formato 6 a)'!F23</f>
        <v>700348.97</v>
      </c>
      <c r="U16" s="18">
        <f>'Formato 6 a)'!G23</f>
        <v>622621.03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1080844</v>
      </c>
      <c r="Q17" s="18">
        <f>'Formato 6 a)'!C24</f>
        <v>35000</v>
      </c>
      <c r="R17" s="18">
        <f>'Formato 6 a)'!D24</f>
        <v>1115844</v>
      </c>
      <c r="S17" s="18">
        <f>'Formato 6 a)'!E24</f>
        <v>689357.2</v>
      </c>
      <c r="T17" s="18">
        <f>'Formato 6 a)'!F24</f>
        <v>689357.2</v>
      </c>
      <c r="U17" s="18">
        <f>'Formato 6 a)'!G24</f>
        <v>426486.80000000005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520313</v>
      </c>
      <c r="Q18" s="18">
        <f>'Formato 6 a)'!C25</f>
        <v>3956</v>
      </c>
      <c r="R18" s="18">
        <f>'Formato 6 a)'!D25</f>
        <v>524269</v>
      </c>
      <c r="S18" s="18">
        <f>'Formato 6 a)'!E25</f>
        <v>379066.19</v>
      </c>
      <c r="T18" s="18">
        <f>'Formato 6 a)'!F25</f>
        <v>379066.19</v>
      </c>
      <c r="U18" s="18">
        <f>'Formato 6 a)'!G25</f>
        <v>145202.81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121766</v>
      </c>
      <c r="Q20" s="18">
        <f>'Formato 6 a)'!C27</f>
        <v>16425.189999999999</v>
      </c>
      <c r="R20" s="18">
        <f>'Formato 6 a)'!D27</f>
        <v>138191.19</v>
      </c>
      <c r="S20" s="18">
        <f>'Formato 6 a)'!E27</f>
        <v>118643.35</v>
      </c>
      <c r="T20" s="18">
        <f>'Formato 6 a)'!F27</f>
        <v>118643.35</v>
      </c>
      <c r="U20" s="18">
        <f>'Formato 6 a)'!G27</f>
        <v>19547.839999999997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17345577</v>
      </c>
      <c r="Q21" s="18">
        <f>'Formato 6 a)'!C28</f>
        <v>-257594.40000000002</v>
      </c>
      <c r="R21" s="18">
        <f>'Formato 6 a)'!D28</f>
        <v>17087982.600000001</v>
      </c>
      <c r="S21" s="18">
        <f>'Formato 6 a)'!E28</f>
        <v>12897838.790000001</v>
      </c>
      <c r="T21" s="18">
        <f>'Formato 6 a)'!F28</f>
        <v>12895753.790000001</v>
      </c>
      <c r="U21" s="18">
        <f>'Formato 6 a)'!G28</f>
        <v>4190143.8100000005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7965647</v>
      </c>
      <c r="Q22" s="18">
        <f>'Formato 6 a)'!C29</f>
        <v>0</v>
      </c>
      <c r="R22" s="18">
        <f>'Formato 6 a)'!D29</f>
        <v>7965647</v>
      </c>
      <c r="S22" s="18">
        <f>'Formato 6 a)'!E29</f>
        <v>6303487.4900000002</v>
      </c>
      <c r="T22" s="18">
        <f>'Formato 6 a)'!F29</f>
        <v>6303487.4900000002</v>
      </c>
      <c r="U22" s="18">
        <f>'Formato 6 a)'!G29</f>
        <v>1662159.5099999998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18700</v>
      </c>
      <c r="Q23" s="18">
        <f>'Formato 6 a)'!C30</f>
        <v>0</v>
      </c>
      <c r="R23" s="18">
        <f>'Formato 6 a)'!D30</f>
        <v>18700</v>
      </c>
      <c r="S23" s="18">
        <f>'Formato 6 a)'!E30</f>
        <v>3000</v>
      </c>
      <c r="T23" s="18">
        <f>'Formato 6 a)'!F30</f>
        <v>3000</v>
      </c>
      <c r="U23" s="18">
        <f>'Formato 6 a)'!G30</f>
        <v>15700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2747789</v>
      </c>
      <c r="Q24" s="18">
        <f>'Formato 6 a)'!C31</f>
        <v>-234883.76</v>
      </c>
      <c r="R24" s="18">
        <f>'Formato 6 a)'!D31</f>
        <v>2512905.2400000002</v>
      </c>
      <c r="S24" s="18">
        <f>'Formato 6 a)'!E31</f>
        <v>2001842.72</v>
      </c>
      <c r="T24" s="18">
        <f>'Formato 6 a)'!F31</f>
        <v>2001842.72</v>
      </c>
      <c r="U24" s="18">
        <f>'Formato 6 a)'!G31</f>
        <v>511062.52000000025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856094</v>
      </c>
      <c r="Q25" s="18">
        <f>'Formato 6 a)'!C32</f>
        <v>1957.02</v>
      </c>
      <c r="R25" s="18">
        <f>'Formato 6 a)'!D32</f>
        <v>858051.02</v>
      </c>
      <c r="S25" s="18">
        <f>'Formato 6 a)'!E32</f>
        <v>564349.26</v>
      </c>
      <c r="T25" s="18">
        <f>'Formato 6 a)'!F32</f>
        <v>564349.26</v>
      </c>
      <c r="U25" s="18">
        <f>'Formato 6 a)'!G32</f>
        <v>293701.76000000001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2939949</v>
      </c>
      <c r="Q26" s="18">
        <f>'Formato 6 a)'!C33</f>
        <v>-45228.21</v>
      </c>
      <c r="R26" s="18">
        <f>'Formato 6 a)'!D33</f>
        <v>2894720.79</v>
      </c>
      <c r="S26" s="18">
        <f>'Formato 6 a)'!E33</f>
        <v>1942405.15</v>
      </c>
      <c r="T26" s="18">
        <f>'Formato 6 a)'!F33</f>
        <v>1942405.15</v>
      </c>
      <c r="U26" s="18">
        <f>'Formato 6 a)'!G33</f>
        <v>952315.64000000013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241200</v>
      </c>
      <c r="Q27" s="18">
        <f>'Formato 6 a)'!C34</f>
        <v>0</v>
      </c>
      <c r="R27" s="18">
        <f>'Formato 6 a)'!D34</f>
        <v>241200</v>
      </c>
      <c r="S27" s="18">
        <f>'Formato 6 a)'!E34</f>
        <v>108141.17</v>
      </c>
      <c r="T27" s="18">
        <f>'Formato 6 a)'!F34</f>
        <v>108141.17</v>
      </c>
      <c r="U27" s="18">
        <f>'Formato 6 a)'!G34</f>
        <v>133058.83000000002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39600</v>
      </c>
      <c r="Q28" s="18">
        <f>'Formato 6 a)'!C35</f>
        <v>-4865.45</v>
      </c>
      <c r="R28" s="18">
        <f>'Formato 6 a)'!D35</f>
        <v>34734.550000000003</v>
      </c>
      <c r="S28" s="18">
        <f>'Formato 6 a)'!E35</f>
        <v>7856.58</v>
      </c>
      <c r="T28" s="18">
        <f>'Formato 6 a)'!F35</f>
        <v>7856.58</v>
      </c>
      <c r="U28" s="18">
        <f>'Formato 6 a)'!G35</f>
        <v>26877.97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136000</v>
      </c>
      <c r="Q29" s="18">
        <f>'Formato 6 a)'!C36</f>
        <v>0</v>
      </c>
      <c r="R29" s="18">
        <f>'Formato 6 a)'!D36</f>
        <v>136000</v>
      </c>
      <c r="S29" s="18">
        <f>'Formato 6 a)'!E36</f>
        <v>71120.820000000007</v>
      </c>
      <c r="T29" s="18">
        <f>'Formato 6 a)'!F36</f>
        <v>71120.820000000007</v>
      </c>
      <c r="U29" s="18">
        <f>'Formato 6 a)'!G36</f>
        <v>64879.179999999993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2400598</v>
      </c>
      <c r="Q30" s="18">
        <f>'Formato 6 a)'!C37</f>
        <v>25426</v>
      </c>
      <c r="R30" s="18">
        <f>'Formato 6 a)'!D37</f>
        <v>2426024</v>
      </c>
      <c r="S30" s="18">
        <f>'Formato 6 a)'!E37</f>
        <v>1895635.6</v>
      </c>
      <c r="T30" s="18">
        <f>'Formato 6 a)'!F37</f>
        <v>1893550.6</v>
      </c>
      <c r="U30" s="18">
        <f>'Formato 6 a)'!G37</f>
        <v>530388.39999999991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49800</v>
      </c>
      <c r="Q31" s="18">
        <f>'Formato 6 a)'!C38</f>
        <v>411077.5</v>
      </c>
      <c r="R31" s="18">
        <f>'Formato 6 a)'!D38</f>
        <v>460877.5</v>
      </c>
      <c r="S31" s="18">
        <f>'Formato 6 a)'!E38</f>
        <v>404838.67</v>
      </c>
      <c r="T31" s="18">
        <f>'Formato 6 a)'!F38</f>
        <v>25761.17</v>
      </c>
      <c r="U31" s="18">
        <f>'Formato 6 a)'!G38</f>
        <v>56038.83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379077.5</v>
      </c>
      <c r="R32" s="18">
        <f>'Formato 6 a)'!D39</f>
        <v>379077.5</v>
      </c>
      <c r="S32" s="18">
        <f>'Formato 6 a)'!E39</f>
        <v>379077.5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49800</v>
      </c>
      <c r="Q35" s="18">
        <f>'Formato 6 a)'!C42</f>
        <v>32000</v>
      </c>
      <c r="R35" s="18">
        <f>'Formato 6 a)'!D42</f>
        <v>81800</v>
      </c>
      <c r="S35" s="18">
        <f>'Formato 6 a)'!E42</f>
        <v>25761.17</v>
      </c>
      <c r="T35" s="18">
        <f>'Formato 6 a)'!F42</f>
        <v>25761.17</v>
      </c>
      <c r="U35" s="18">
        <f>'Formato 6 a)'!G42</f>
        <v>56038.83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1082368</v>
      </c>
      <c r="Q41" s="18">
        <f>'Formato 6 a)'!C48</f>
        <v>1144087.43</v>
      </c>
      <c r="R41" s="18">
        <f>'Formato 6 a)'!D48</f>
        <v>2226455.4300000002</v>
      </c>
      <c r="S41" s="18">
        <f>'Formato 6 a)'!E48</f>
        <v>2078290.31</v>
      </c>
      <c r="T41" s="18">
        <f>'Formato 6 a)'!F48</f>
        <v>2078290.31</v>
      </c>
      <c r="U41" s="18">
        <f>'Formato 6 a)'!G48</f>
        <v>148165.11999999988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315270</v>
      </c>
      <c r="Q42" s="18">
        <f>'Formato 6 a)'!C49</f>
        <v>97072.05</v>
      </c>
      <c r="R42" s="18">
        <f>'Formato 6 a)'!D49</f>
        <v>412342.05</v>
      </c>
      <c r="S42" s="18">
        <f>'Formato 6 a)'!E49</f>
        <v>219363.85</v>
      </c>
      <c r="T42" s="18">
        <f>'Formato 6 a)'!F49</f>
        <v>219363.85</v>
      </c>
      <c r="U42" s="18">
        <f>'Formato 6 a)'!G49</f>
        <v>192978.19999999998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6000</v>
      </c>
      <c r="Q43" s="18">
        <f>'Formato 6 a)'!C50</f>
        <v>78936.5</v>
      </c>
      <c r="R43" s="18">
        <f>'Formato 6 a)'!D50</f>
        <v>84936.5</v>
      </c>
      <c r="S43" s="18">
        <f>'Formato 6 a)'!E50</f>
        <v>47578.53</v>
      </c>
      <c r="T43" s="18">
        <f>'Formato 6 a)'!F50</f>
        <v>47578.53</v>
      </c>
      <c r="U43" s="18">
        <f>'Formato 6 a)'!G50</f>
        <v>37357.97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50000</v>
      </c>
      <c r="Q45" s="18">
        <f>'Formato 6 a)'!C52</f>
        <v>2137.9299999999998</v>
      </c>
      <c r="R45" s="18">
        <f>'Formato 6 a)'!D52</f>
        <v>52137.93</v>
      </c>
      <c r="S45" s="18">
        <f>'Formato 6 a)'!E52</f>
        <v>52137.93</v>
      </c>
      <c r="T45" s="18">
        <f>'Formato 6 a)'!F52</f>
        <v>52137.93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513748</v>
      </c>
      <c r="Q47" s="18">
        <f>'Formato 6 a)'!C54</f>
        <v>989413</v>
      </c>
      <c r="R47" s="18">
        <f>'Formato 6 a)'!D54</f>
        <v>1503161</v>
      </c>
      <c r="S47" s="18">
        <f>'Formato 6 a)'!E54</f>
        <v>193110</v>
      </c>
      <c r="T47" s="18">
        <f>'Formato 6 a)'!F54</f>
        <v>193110</v>
      </c>
      <c r="U47" s="18">
        <f>'Formato 6 a)'!G54</f>
        <v>1310051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197350</v>
      </c>
      <c r="Q50" s="18">
        <f>'Formato 6 a)'!C57</f>
        <v>-23472.05</v>
      </c>
      <c r="R50" s="18">
        <f>'Formato 6 a)'!D57</f>
        <v>173877.95</v>
      </c>
      <c r="S50" s="18">
        <f>'Formato 6 a)'!E57</f>
        <v>1566100</v>
      </c>
      <c r="T50" s="18">
        <f>'Formato 6 a)'!F57</f>
        <v>1566100</v>
      </c>
      <c r="U50" s="18">
        <f>'Formato 6 a)'!G57</f>
        <v>-1392222.05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12851188</v>
      </c>
      <c r="Q51" s="18">
        <f>'Formato 6 a)'!C58</f>
        <v>5587036.4900000002</v>
      </c>
      <c r="R51" s="18">
        <f>'Formato 6 a)'!D58</f>
        <v>18438224.489999998</v>
      </c>
      <c r="S51" s="18">
        <f>'Formato 6 a)'!E58</f>
        <v>9696014.209999999</v>
      </c>
      <c r="T51" s="18">
        <f>'Formato 6 a)'!F58</f>
        <v>6231289.25</v>
      </c>
      <c r="U51" s="18">
        <f>'Formato 6 a)'!G58</f>
        <v>8742210.2799999993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12668878</v>
      </c>
      <c r="Q52" s="18">
        <f>'Formato 6 a)'!C59</f>
        <v>4590689.95</v>
      </c>
      <c r="R52" s="18">
        <f>'Formato 6 a)'!D59</f>
        <v>17259567.949999999</v>
      </c>
      <c r="S52" s="18">
        <f>'Formato 6 a)'!E59</f>
        <v>8648850.5299999993</v>
      </c>
      <c r="T52" s="18">
        <f>'Formato 6 a)'!F59</f>
        <v>5184125.57</v>
      </c>
      <c r="U52" s="18">
        <f>'Formato 6 a)'!G59</f>
        <v>8610717.4199999999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182310</v>
      </c>
      <c r="Q54" s="18">
        <f>'Formato 6 a)'!C61</f>
        <v>996346.54</v>
      </c>
      <c r="R54" s="18">
        <f>'Formato 6 a)'!D61</f>
        <v>1178656.54</v>
      </c>
      <c r="S54" s="18">
        <f>'Formato 6 a)'!E61</f>
        <v>1047163.68</v>
      </c>
      <c r="T54" s="18">
        <f>'Formato 6 a)'!F61</f>
        <v>1047163.68</v>
      </c>
      <c r="U54" s="18">
        <f>'Formato 6 a)'!G61</f>
        <v>131492.85999999999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62406668.469999999</v>
      </c>
      <c r="Q150">
        <f>'Formato 6 a)'!C159</f>
        <v>9084969.9900000002</v>
      </c>
      <c r="R150">
        <f>'Formato 6 a)'!D159</f>
        <v>71491638.460000008</v>
      </c>
      <c r="S150">
        <f>'Formato 6 a)'!E159</f>
        <v>44724666.850000001</v>
      </c>
      <c r="T150">
        <f>'Formato 6 a)'!F159</f>
        <v>40775466.390000001</v>
      </c>
      <c r="U150">
        <f>'Formato 6 a)'!G159</f>
        <v>26766971.609999999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C20" sqref="C20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88" t="s">
        <v>3290</v>
      </c>
      <c r="B1" s="188"/>
      <c r="C1" s="188"/>
      <c r="D1" s="188"/>
      <c r="E1" s="188"/>
      <c r="F1" s="188"/>
      <c r="G1" s="188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277</v>
      </c>
      <c r="B3" s="173"/>
      <c r="C3" s="173"/>
      <c r="D3" s="173"/>
      <c r="E3" s="173"/>
      <c r="F3" s="173"/>
      <c r="G3" s="174"/>
    </row>
    <row r="4" spans="1:7" x14ac:dyDescent="0.25">
      <c r="A4" s="172" t="s">
        <v>431</v>
      </c>
      <c r="B4" s="173"/>
      <c r="C4" s="173"/>
      <c r="D4" s="173"/>
      <c r="E4" s="173"/>
      <c r="F4" s="173"/>
      <c r="G4" s="174"/>
    </row>
    <row r="5" spans="1:7" ht="14.25" x14ac:dyDescent="0.45">
      <c r="A5" s="175" t="str">
        <f>TRIMESTRE</f>
        <v>Del 1 de enero al 30 de septiembre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0</v>
      </c>
      <c r="B7" s="186" t="s">
        <v>279</v>
      </c>
      <c r="C7" s="186"/>
      <c r="D7" s="186"/>
      <c r="E7" s="186"/>
      <c r="F7" s="186"/>
      <c r="G7" s="190" t="s">
        <v>280</v>
      </c>
    </row>
    <row r="8" spans="1:7" ht="30" x14ac:dyDescent="0.25">
      <c r="A8" s="185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89"/>
    </row>
    <row r="9" spans="1:7" ht="14.25" x14ac:dyDescent="0.45">
      <c r="A9" s="52" t="s">
        <v>440</v>
      </c>
      <c r="B9" s="59">
        <f>SUM(B10:GASTO_NE_FIN_01)</f>
        <v>62406668.469999999</v>
      </c>
      <c r="C9" s="59">
        <f>SUM(C10:GASTO_NE_FIN_02)</f>
        <v>9084969.9900000002</v>
      </c>
      <c r="D9" s="59">
        <f>SUM(D10:GASTO_NE_FIN_03)</f>
        <v>71491638.459999993</v>
      </c>
      <c r="E9" s="59">
        <f>SUM(E10:GASTO_NE_FIN_04)</f>
        <v>44724666.850000001</v>
      </c>
      <c r="F9" s="59">
        <f>SUM(F10:GASTO_NE_FIN_05)</f>
        <v>40775466.390000001</v>
      </c>
      <c r="G9" s="59">
        <f>SUM(G10:GASTO_NE_FIN_06)</f>
        <v>26766971.609999999</v>
      </c>
    </row>
    <row r="10" spans="1:7" s="24" customFormat="1" x14ac:dyDescent="0.25">
      <c r="A10" s="143" t="s">
        <v>432</v>
      </c>
      <c r="B10" s="154">
        <v>62406668.469999999</v>
      </c>
      <c r="C10" s="154">
        <v>0</v>
      </c>
      <c r="D10" s="155">
        <f>B10+C10</f>
        <v>62406668.469999999</v>
      </c>
      <c r="E10" s="154">
        <v>44724666.850000001</v>
      </c>
      <c r="F10" s="154">
        <v>40775466.390000001</v>
      </c>
      <c r="G10" s="155">
        <f>D10-E10</f>
        <v>17682001.619999997</v>
      </c>
    </row>
    <row r="11" spans="1:7" s="24" customFormat="1" x14ac:dyDescent="0.25">
      <c r="A11" s="143" t="s">
        <v>433</v>
      </c>
      <c r="B11" s="154">
        <v>0</v>
      </c>
      <c r="C11" s="154">
        <v>9084969.9900000002</v>
      </c>
      <c r="D11" s="155">
        <f t="shared" ref="D11:D17" si="0">B11+C11</f>
        <v>9084969.9900000002</v>
      </c>
      <c r="E11" s="154">
        <v>0</v>
      </c>
      <c r="F11" s="154">
        <v>0</v>
      </c>
      <c r="G11" s="155">
        <f t="shared" ref="G11:G17" si="1">D11-E11</f>
        <v>9084969.9900000002</v>
      </c>
    </row>
    <row r="12" spans="1:7" s="24" customFormat="1" x14ac:dyDescent="0.25">
      <c r="A12" s="143" t="s">
        <v>434</v>
      </c>
      <c r="B12" s="155"/>
      <c r="C12" s="155"/>
      <c r="D12" s="155">
        <f t="shared" si="0"/>
        <v>0</v>
      </c>
      <c r="E12" s="155"/>
      <c r="F12" s="155"/>
      <c r="G12" s="155">
        <f t="shared" si="1"/>
        <v>0</v>
      </c>
    </row>
    <row r="13" spans="1:7" s="24" customFormat="1" x14ac:dyDescent="0.25">
      <c r="A13" s="143" t="s">
        <v>435</v>
      </c>
      <c r="B13" s="155"/>
      <c r="C13" s="155"/>
      <c r="D13" s="155">
        <f t="shared" si="0"/>
        <v>0</v>
      </c>
      <c r="E13" s="155"/>
      <c r="F13" s="155"/>
      <c r="G13" s="155">
        <f t="shared" si="1"/>
        <v>0</v>
      </c>
    </row>
    <row r="14" spans="1:7" s="24" customFormat="1" x14ac:dyDescent="0.25">
      <c r="A14" s="143" t="s">
        <v>436</v>
      </c>
      <c r="B14" s="155"/>
      <c r="C14" s="155"/>
      <c r="D14" s="155">
        <f t="shared" si="0"/>
        <v>0</v>
      </c>
      <c r="E14" s="155"/>
      <c r="F14" s="155"/>
      <c r="G14" s="155">
        <f t="shared" si="1"/>
        <v>0</v>
      </c>
    </row>
    <row r="15" spans="1:7" s="24" customFormat="1" x14ac:dyDescent="0.25">
      <c r="A15" s="143" t="s">
        <v>437</v>
      </c>
      <c r="B15" s="155"/>
      <c r="C15" s="155"/>
      <c r="D15" s="155">
        <f t="shared" si="0"/>
        <v>0</v>
      </c>
      <c r="E15" s="155"/>
      <c r="F15" s="155"/>
      <c r="G15" s="155">
        <f t="shared" si="1"/>
        <v>0</v>
      </c>
    </row>
    <row r="16" spans="1:7" s="24" customFormat="1" x14ac:dyDescent="0.25">
      <c r="A16" s="143" t="s">
        <v>438</v>
      </c>
      <c r="B16" s="155"/>
      <c r="C16" s="155"/>
      <c r="D16" s="155">
        <f t="shared" si="0"/>
        <v>0</v>
      </c>
      <c r="E16" s="155"/>
      <c r="F16" s="155"/>
      <c r="G16" s="155">
        <f t="shared" si="1"/>
        <v>0</v>
      </c>
    </row>
    <row r="17" spans="1:7" s="24" customFormat="1" x14ac:dyDescent="0.25">
      <c r="A17" s="143" t="s">
        <v>439</v>
      </c>
      <c r="B17" s="155"/>
      <c r="C17" s="155"/>
      <c r="D17" s="155">
        <f t="shared" si="0"/>
        <v>0</v>
      </c>
      <c r="E17" s="155"/>
      <c r="F17" s="155"/>
      <c r="G17" s="155">
        <f t="shared" si="1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3" t="s">
        <v>432</v>
      </c>
      <c r="B20" s="155"/>
      <c r="C20" s="155"/>
      <c r="D20" s="155">
        <f t="shared" ref="D20:D27" si="2">B20+C20</f>
        <v>0</v>
      </c>
      <c r="E20" s="155"/>
      <c r="F20" s="155"/>
      <c r="G20" s="60">
        <f>D20-E20</f>
        <v>0</v>
      </c>
    </row>
    <row r="21" spans="1:7" s="24" customFormat="1" x14ac:dyDescent="0.25">
      <c r="A21" s="143" t="s">
        <v>433</v>
      </c>
      <c r="B21" s="155"/>
      <c r="C21" s="155"/>
      <c r="D21" s="155">
        <f t="shared" si="2"/>
        <v>0</v>
      </c>
      <c r="E21" s="155"/>
      <c r="F21" s="155"/>
      <c r="G21" s="60">
        <f t="shared" ref="G21:G27" si="3">D21-E21</f>
        <v>0</v>
      </c>
    </row>
    <row r="22" spans="1:7" s="24" customFormat="1" x14ac:dyDescent="0.25">
      <c r="A22" s="143" t="s">
        <v>434</v>
      </c>
      <c r="B22" s="155"/>
      <c r="C22" s="155"/>
      <c r="D22" s="155">
        <f t="shared" si="2"/>
        <v>0</v>
      </c>
      <c r="E22" s="155"/>
      <c r="F22" s="155"/>
      <c r="G22" s="60">
        <f t="shared" si="3"/>
        <v>0</v>
      </c>
    </row>
    <row r="23" spans="1:7" s="24" customFormat="1" x14ac:dyDescent="0.25">
      <c r="A23" s="143" t="s">
        <v>435</v>
      </c>
      <c r="B23" s="155"/>
      <c r="C23" s="155"/>
      <c r="D23" s="155">
        <f t="shared" si="2"/>
        <v>0</v>
      </c>
      <c r="E23" s="155"/>
      <c r="F23" s="155"/>
      <c r="G23" s="60">
        <f t="shared" si="3"/>
        <v>0</v>
      </c>
    </row>
    <row r="24" spans="1:7" s="24" customFormat="1" x14ac:dyDescent="0.25">
      <c r="A24" s="143" t="s">
        <v>436</v>
      </c>
      <c r="B24" s="155"/>
      <c r="C24" s="155"/>
      <c r="D24" s="155">
        <f t="shared" si="2"/>
        <v>0</v>
      </c>
      <c r="E24" s="155"/>
      <c r="F24" s="155"/>
      <c r="G24" s="60">
        <f t="shared" si="3"/>
        <v>0</v>
      </c>
    </row>
    <row r="25" spans="1:7" s="24" customFormat="1" x14ac:dyDescent="0.25">
      <c r="A25" s="143" t="s">
        <v>437</v>
      </c>
      <c r="B25" s="155"/>
      <c r="C25" s="155"/>
      <c r="D25" s="155">
        <f t="shared" si="2"/>
        <v>0</v>
      </c>
      <c r="E25" s="155"/>
      <c r="F25" s="155"/>
      <c r="G25" s="60">
        <f t="shared" si="3"/>
        <v>0</v>
      </c>
    </row>
    <row r="26" spans="1:7" s="24" customFormat="1" x14ac:dyDescent="0.25">
      <c r="A26" s="143" t="s">
        <v>438</v>
      </c>
      <c r="B26" s="155"/>
      <c r="C26" s="155"/>
      <c r="D26" s="155">
        <f t="shared" si="2"/>
        <v>0</v>
      </c>
      <c r="E26" s="155"/>
      <c r="F26" s="155"/>
      <c r="G26" s="60">
        <f t="shared" si="3"/>
        <v>0</v>
      </c>
    </row>
    <row r="27" spans="1:7" s="24" customFormat="1" x14ac:dyDescent="0.25">
      <c r="A27" s="143" t="s">
        <v>439</v>
      </c>
      <c r="B27" s="155"/>
      <c r="C27" s="155"/>
      <c r="D27" s="155">
        <f t="shared" si="2"/>
        <v>0</v>
      </c>
      <c r="E27" s="155"/>
      <c r="F27" s="155"/>
      <c r="G27" s="60">
        <f t="shared" si="3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62406668.469999999</v>
      </c>
      <c r="C29" s="61">
        <f>GASTO_NE_T2+GASTO_E_T2</f>
        <v>9084969.9900000002</v>
      </c>
      <c r="D29" s="61">
        <f>GASTO_NE_T3+GASTO_E_T3</f>
        <v>71491638.459999993</v>
      </c>
      <c r="E29" s="61">
        <f>GASTO_NE_T4+GASTO_E_T4</f>
        <v>44724666.850000001</v>
      </c>
      <c r="F29" s="61">
        <f>GASTO_NE_T5+GASTO_E_T5</f>
        <v>40775466.390000001</v>
      </c>
      <c r="G29" s="61">
        <f>GASTO_NE_T6+GASTO_E_T6</f>
        <v>26766971.609999999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62406668.469999999</v>
      </c>
      <c r="Q2" s="18">
        <f>GASTO_NE_T2</f>
        <v>9084969.9900000002</v>
      </c>
      <c r="R2" s="18">
        <f>GASTO_NE_T3</f>
        <v>71491638.459999993</v>
      </c>
      <c r="S2" s="18">
        <f>GASTO_NE_T4</f>
        <v>44724666.850000001</v>
      </c>
      <c r="T2" s="18">
        <f>GASTO_NE_T5</f>
        <v>40775466.390000001</v>
      </c>
      <c r="U2" s="18">
        <f>GASTO_NE_T6</f>
        <v>26766971.609999999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62406668.469999999</v>
      </c>
      <c r="Q4" s="18">
        <f>TOTAL_E_T2</f>
        <v>9084969.9900000002</v>
      </c>
      <c r="R4" s="18">
        <f>TOTAL_E_T3</f>
        <v>71491638.459999993</v>
      </c>
      <c r="S4" s="18">
        <f>TOTAL_E_T4</f>
        <v>44724666.850000001</v>
      </c>
      <c r="T4" s="18">
        <f>TOTAL_E_T5</f>
        <v>40775466.390000001</v>
      </c>
      <c r="U4" s="18">
        <f>TOTAL_E_T6</f>
        <v>26766971.609999999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64" zoomScale="90" zoomScaleNormal="90" workbookViewId="0">
      <selection activeCell="B20" sqref="B20:G26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4" t="s">
        <v>3289</v>
      </c>
      <c r="B1" s="195"/>
      <c r="C1" s="195"/>
      <c r="D1" s="195"/>
      <c r="E1" s="195"/>
      <c r="F1" s="195"/>
      <c r="G1" s="195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2" t="s">
        <v>396</v>
      </c>
      <c r="B3" s="173"/>
      <c r="C3" s="173"/>
      <c r="D3" s="173"/>
      <c r="E3" s="173"/>
      <c r="F3" s="173"/>
      <c r="G3" s="174"/>
    </row>
    <row r="4" spans="1:7" x14ac:dyDescent="0.25">
      <c r="A4" s="172" t="s">
        <v>397</v>
      </c>
      <c r="B4" s="173"/>
      <c r="C4" s="173"/>
      <c r="D4" s="173"/>
      <c r="E4" s="173"/>
      <c r="F4" s="173"/>
      <c r="G4" s="174"/>
    </row>
    <row r="5" spans="1:7" ht="14.25" x14ac:dyDescent="0.45">
      <c r="A5" s="175" t="str">
        <f>TRIMESTRE</f>
        <v>Del 1 de enero al 30 de septiembre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73" t="s">
        <v>0</v>
      </c>
      <c r="B7" s="178" t="s">
        <v>279</v>
      </c>
      <c r="C7" s="179"/>
      <c r="D7" s="179"/>
      <c r="E7" s="179"/>
      <c r="F7" s="180"/>
      <c r="G7" s="190" t="s">
        <v>3286</v>
      </c>
    </row>
    <row r="8" spans="1:7" ht="30.75" customHeight="1" x14ac:dyDescent="0.25">
      <c r="A8" s="173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89"/>
    </row>
    <row r="9" spans="1:7" ht="14.25" x14ac:dyDescent="0.45">
      <c r="A9" s="52" t="s">
        <v>363</v>
      </c>
      <c r="B9" s="70">
        <f>SUM(B10,B19,B27,B37)</f>
        <v>62406668.469999999</v>
      </c>
      <c r="C9" s="70">
        <f t="shared" ref="C9:G9" si="0">SUM(C10,C19,C27,C37)</f>
        <v>9084969.9900000002</v>
      </c>
      <c r="D9" s="70">
        <f t="shared" si="0"/>
        <v>71491638.459999993</v>
      </c>
      <c r="E9" s="70">
        <f t="shared" si="0"/>
        <v>44724666.849999994</v>
      </c>
      <c r="F9" s="70">
        <f t="shared" si="0"/>
        <v>40775466.390000001</v>
      </c>
      <c r="G9" s="70">
        <f t="shared" si="0"/>
        <v>26766971.609999999</v>
      </c>
    </row>
    <row r="10" spans="1:7" ht="14.25" x14ac:dyDescent="0.45">
      <c r="A10" s="53" t="s">
        <v>364</v>
      </c>
      <c r="B10" s="71">
        <f>SUM(B11:B18)</f>
        <v>12711011</v>
      </c>
      <c r="C10" s="71">
        <f t="shared" ref="C10:F10" si="1">SUM(C11:C18)</f>
        <v>-438687.52</v>
      </c>
      <c r="D10" s="71">
        <f t="shared" si="1"/>
        <v>12272323.48</v>
      </c>
      <c r="E10" s="71">
        <f t="shared" si="1"/>
        <v>6511170.6899999995</v>
      </c>
      <c r="F10" s="71">
        <f t="shared" si="1"/>
        <v>6511000.6899999995</v>
      </c>
      <c r="G10" s="71">
        <f>SUM(G11:G18)</f>
        <v>5761152.790000001</v>
      </c>
    </row>
    <row r="11" spans="1:7" x14ac:dyDescent="0.25">
      <c r="A11" s="63" t="s">
        <v>365</v>
      </c>
      <c r="B11" s="159"/>
      <c r="C11" s="159"/>
      <c r="D11" s="159">
        <f>B11+C11</f>
        <v>0</v>
      </c>
      <c r="E11" s="159"/>
      <c r="F11" s="159"/>
      <c r="G11" s="159">
        <f>D11-E11</f>
        <v>0</v>
      </c>
    </row>
    <row r="12" spans="1:7" x14ac:dyDescent="0.25">
      <c r="A12" s="63" t="s">
        <v>366</v>
      </c>
      <c r="B12" s="159"/>
      <c r="C12" s="159"/>
      <c r="D12" s="159">
        <f t="shared" ref="D12:D18" si="2">B12+C12</f>
        <v>0</v>
      </c>
      <c r="E12" s="159"/>
      <c r="F12" s="159"/>
      <c r="G12" s="159">
        <f t="shared" ref="G12:G18" si="3">D12-E12</f>
        <v>0</v>
      </c>
    </row>
    <row r="13" spans="1:7" x14ac:dyDescent="0.25">
      <c r="A13" s="63" t="s">
        <v>367</v>
      </c>
      <c r="B13" s="159"/>
      <c r="C13" s="159"/>
      <c r="D13" s="159">
        <f t="shared" si="2"/>
        <v>0</v>
      </c>
      <c r="E13" s="159"/>
      <c r="F13" s="159"/>
      <c r="G13" s="159">
        <f t="shared" si="3"/>
        <v>0</v>
      </c>
    </row>
    <row r="14" spans="1:7" x14ac:dyDescent="0.25">
      <c r="A14" s="63" t="s">
        <v>368</v>
      </c>
      <c r="B14" s="159"/>
      <c r="C14" s="159"/>
      <c r="D14" s="159">
        <f t="shared" si="2"/>
        <v>0</v>
      </c>
      <c r="E14" s="159"/>
      <c r="F14" s="159"/>
      <c r="G14" s="159">
        <f t="shared" si="3"/>
        <v>0</v>
      </c>
    </row>
    <row r="15" spans="1:7" x14ac:dyDescent="0.25">
      <c r="A15" s="63" t="s">
        <v>369</v>
      </c>
      <c r="B15" s="160">
        <v>11185023</v>
      </c>
      <c r="C15" s="160">
        <v>-462396.52</v>
      </c>
      <c r="D15" s="159">
        <f t="shared" si="2"/>
        <v>10722626.48</v>
      </c>
      <c r="E15" s="160">
        <v>5801348.5999999996</v>
      </c>
      <c r="F15" s="160">
        <v>5801348.5999999996</v>
      </c>
      <c r="G15" s="159">
        <f t="shared" si="3"/>
        <v>4921277.8800000008</v>
      </c>
    </row>
    <row r="16" spans="1:7" x14ac:dyDescent="0.25">
      <c r="A16" s="63" t="s">
        <v>370</v>
      </c>
      <c r="B16" s="159"/>
      <c r="C16" s="159"/>
      <c r="D16" s="159">
        <f t="shared" si="2"/>
        <v>0</v>
      </c>
      <c r="E16" s="159"/>
      <c r="F16" s="159"/>
      <c r="G16" s="159">
        <f t="shared" si="3"/>
        <v>0</v>
      </c>
    </row>
    <row r="17" spans="1:7" x14ac:dyDescent="0.25">
      <c r="A17" s="63" t="s">
        <v>371</v>
      </c>
      <c r="B17" s="159"/>
      <c r="C17" s="159"/>
      <c r="D17" s="159">
        <f t="shared" si="2"/>
        <v>0</v>
      </c>
      <c r="E17" s="159"/>
      <c r="F17" s="159"/>
      <c r="G17" s="159">
        <f t="shared" si="3"/>
        <v>0</v>
      </c>
    </row>
    <row r="18" spans="1:7" x14ac:dyDescent="0.25">
      <c r="A18" s="63" t="s">
        <v>372</v>
      </c>
      <c r="B18" s="160">
        <v>1525988</v>
      </c>
      <c r="C18" s="160">
        <v>23709</v>
      </c>
      <c r="D18" s="159">
        <f t="shared" si="2"/>
        <v>1549697</v>
      </c>
      <c r="E18" s="160">
        <v>709822.09</v>
      </c>
      <c r="F18" s="160">
        <v>709652.09</v>
      </c>
      <c r="G18" s="159">
        <f t="shared" si="3"/>
        <v>839874.91</v>
      </c>
    </row>
    <row r="19" spans="1:7" ht="14.25" x14ac:dyDescent="0.45">
      <c r="A19" s="53" t="s">
        <v>373</v>
      </c>
      <c r="B19" s="71">
        <f>SUM(B20:B26)</f>
        <v>49695657.469999999</v>
      </c>
      <c r="C19" s="71">
        <f t="shared" ref="C19:F19" si="4">SUM(C20:C26)</f>
        <v>9523657.5099999998</v>
      </c>
      <c r="D19" s="71">
        <f t="shared" si="4"/>
        <v>59219314.979999997</v>
      </c>
      <c r="E19" s="71">
        <f t="shared" si="4"/>
        <v>38213496.159999996</v>
      </c>
      <c r="F19" s="71">
        <f t="shared" si="4"/>
        <v>34264465.700000003</v>
      </c>
      <c r="G19" s="71">
        <f>SUM(G20:G26)</f>
        <v>21005818.819999997</v>
      </c>
    </row>
    <row r="20" spans="1:7" x14ac:dyDescent="0.25">
      <c r="A20" s="63" t="s">
        <v>374</v>
      </c>
      <c r="B20" s="160">
        <v>10934865</v>
      </c>
      <c r="C20" s="160">
        <v>1390116.61</v>
      </c>
      <c r="D20" s="159">
        <f t="shared" ref="D20:D26" si="5">B20+C20</f>
        <v>12324981.609999999</v>
      </c>
      <c r="E20" s="160">
        <v>9270604.6099999994</v>
      </c>
      <c r="F20" s="160">
        <v>9175014.6099999994</v>
      </c>
      <c r="G20" s="159">
        <f t="shared" ref="G20:G26" si="6">D20-E20</f>
        <v>3054377</v>
      </c>
    </row>
    <row r="21" spans="1:7" x14ac:dyDescent="0.25">
      <c r="A21" s="63" t="s">
        <v>375</v>
      </c>
      <c r="B21" s="160">
        <v>38760792.469999999</v>
      </c>
      <c r="C21" s="160">
        <v>8133540.9000000004</v>
      </c>
      <c r="D21" s="159">
        <f t="shared" si="5"/>
        <v>46894333.369999997</v>
      </c>
      <c r="E21" s="160">
        <v>28942891.550000001</v>
      </c>
      <c r="F21" s="160">
        <v>25089451.09</v>
      </c>
      <c r="G21" s="159">
        <f t="shared" si="6"/>
        <v>17951441.819999997</v>
      </c>
    </row>
    <row r="22" spans="1:7" x14ac:dyDescent="0.25">
      <c r="A22" s="63" t="s">
        <v>376</v>
      </c>
      <c r="B22" s="159"/>
      <c r="C22" s="159"/>
      <c r="D22" s="159">
        <f t="shared" si="5"/>
        <v>0</v>
      </c>
      <c r="E22" s="159"/>
      <c r="F22" s="159"/>
      <c r="G22" s="159">
        <f t="shared" si="6"/>
        <v>0</v>
      </c>
    </row>
    <row r="23" spans="1:7" x14ac:dyDescent="0.25">
      <c r="A23" s="63" t="s">
        <v>377</v>
      </c>
      <c r="B23" s="159"/>
      <c r="C23" s="159"/>
      <c r="D23" s="159">
        <f t="shared" si="5"/>
        <v>0</v>
      </c>
      <c r="E23" s="159"/>
      <c r="F23" s="159"/>
      <c r="G23" s="159">
        <f t="shared" si="6"/>
        <v>0</v>
      </c>
    </row>
    <row r="24" spans="1:7" x14ac:dyDescent="0.25">
      <c r="A24" s="63" t="s">
        <v>378</v>
      </c>
      <c r="B24" s="159"/>
      <c r="C24" s="159"/>
      <c r="D24" s="159">
        <f t="shared" si="5"/>
        <v>0</v>
      </c>
      <c r="E24" s="159"/>
      <c r="F24" s="159"/>
      <c r="G24" s="159">
        <f t="shared" si="6"/>
        <v>0</v>
      </c>
    </row>
    <row r="25" spans="1:7" x14ac:dyDescent="0.25">
      <c r="A25" s="63" t="s">
        <v>379</v>
      </c>
      <c r="B25" s="159"/>
      <c r="C25" s="159"/>
      <c r="D25" s="159">
        <f t="shared" si="5"/>
        <v>0</v>
      </c>
      <c r="E25" s="159"/>
      <c r="F25" s="159"/>
      <c r="G25" s="159">
        <f t="shared" si="6"/>
        <v>0</v>
      </c>
    </row>
    <row r="26" spans="1:7" x14ac:dyDescent="0.25">
      <c r="A26" s="63" t="s">
        <v>380</v>
      </c>
      <c r="B26" s="159"/>
      <c r="C26" s="159"/>
      <c r="D26" s="159">
        <f t="shared" si="5"/>
        <v>0</v>
      </c>
      <c r="E26" s="159"/>
      <c r="F26" s="159"/>
      <c r="G26" s="159">
        <f t="shared" si="6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7">SUM(C28:C36)</f>
        <v>0</v>
      </c>
      <c r="D27" s="71">
        <f t="shared" si="7"/>
        <v>0</v>
      </c>
      <c r="E27" s="71">
        <f t="shared" si="7"/>
        <v>0</v>
      </c>
      <c r="F27" s="71">
        <f t="shared" si="7"/>
        <v>0</v>
      </c>
      <c r="G27" s="71">
        <f>SUM(G28:G36)</f>
        <v>0</v>
      </c>
    </row>
    <row r="28" spans="1:7" x14ac:dyDescent="0.25">
      <c r="A28" s="69" t="s">
        <v>382</v>
      </c>
      <c r="B28" s="159"/>
      <c r="C28" s="159"/>
      <c r="D28" s="159">
        <f t="shared" ref="D28:D36" si="8">B28+C28</f>
        <v>0</v>
      </c>
      <c r="E28" s="159"/>
      <c r="F28" s="159"/>
      <c r="G28" s="72">
        <f>D28-E28</f>
        <v>0</v>
      </c>
    </row>
    <row r="29" spans="1:7" x14ac:dyDescent="0.25">
      <c r="A29" s="63" t="s">
        <v>383</v>
      </c>
      <c r="B29" s="159"/>
      <c r="C29" s="159"/>
      <c r="D29" s="159">
        <f t="shared" si="8"/>
        <v>0</v>
      </c>
      <c r="E29" s="159"/>
      <c r="F29" s="159"/>
      <c r="G29" s="72">
        <f t="shared" ref="G29:G36" si="9">D29-E29</f>
        <v>0</v>
      </c>
    </row>
    <row r="30" spans="1:7" x14ac:dyDescent="0.25">
      <c r="A30" s="63" t="s">
        <v>384</v>
      </c>
      <c r="B30" s="159"/>
      <c r="C30" s="159"/>
      <c r="D30" s="159">
        <f t="shared" si="8"/>
        <v>0</v>
      </c>
      <c r="E30" s="159"/>
      <c r="F30" s="159"/>
      <c r="G30" s="72">
        <f t="shared" si="9"/>
        <v>0</v>
      </c>
    </row>
    <row r="31" spans="1:7" x14ac:dyDescent="0.25">
      <c r="A31" s="63" t="s">
        <v>385</v>
      </c>
      <c r="B31" s="159"/>
      <c r="C31" s="159"/>
      <c r="D31" s="159">
        <f t="shared" si="8"/>
        <v>0</v>
      </c>
      <c r="E31" s="159"/>
      <c r="F31" s="159"/>
      <c r="G31" s="72">
        <f t="shared" si="9"/>
        <v>0</v>
      </c>
    </row>
    <row r="32" spans="1:7" x14ac:dyDescent="0.25">
      <c r="A32" s="63" t="s">
        <v>386</v>
      </c>
      <c r="B32" s="159"/>
      <c r="C32" s="159"/>
      <c r="D32" s="159">
        <f t="shared" si="8"/>
        <v>0</v>
      </c>
      <c r="E32" s="159"/>
      <c r="F32" s="159"/>
      <c r="G32" s="72">
        <f t="shared" si="9"/>
        <v>0</v>
      </c>
    </row>
    <row r="33" spans="1:7" x14ac:dyDescent="0.25">
      <c r="A33" s="63" t="s">
        <v>387</v>
      </c>
      <c r="B33" s="159"/>
      <c r="C33" s="159"/>
      <c r="D33" s="159">
        <f t="shared" si="8"/>
        <v>0</v>
      </c>
      <c r="E33" s="159"/>
      <c r="F33" s="159"/>
      <c r="G33" s="72">
        <f t="shared" si="9"/>
        <v>0</v>
      </c>
    </row>
    <row r="34" spans="1:7" x14ac:dyDescent="0.25">
      <c r="A34" s="63" t="s">
        <v>388</v>
      </c>
      <c r="B34" s="159"/>
      <c r="C34" s="159"/>
      <c r="D34" s="159">
        <f t="shared" si="8"/>
        <v>0</v>
      </c>
      <c r="E34" s="159"/>
      <c r="F34" s="159"/>
      <c r="G34" s="72">
        <f t="shared" si="9"/>
        <v>0</v>
      </c>
    </row>
    <row r="35" spans="1:7" x14ac:dyDescent="0.25">
      <c r="A35" s="63" t="s">
        <v>389</v>
      </c>
      <c r="B35" s="159"/>
      <c r="C35" s="159"/>
      <c r="D35" s="159">
        <f t="shared" si="8"/>
        <v>0</v>
      </c>
      <c r="E35" s="159"/>
      <c r="F35" s="159"/>
      <c r="G35" s="72">
        <f t="shared" si="9"/>
        <v>0</v>
      </c>
    </row>
    <row r="36" spans="1:7" x14ac:dyDescent="0.25">
      <c r="A36" s="63" t="s">
        <v>390</v>
      </c>
      <c r="B36" s="159"/>
      <c r="C36" s="159"/>
      <c r="D36" s="159">
        <f t="shared" si="8"/>
        <v>0</v>
      </c>
      <c r="E36" s="159"/>
      <c r="F36" s="159"/>
      <c r="G36" s="72">
        <f t="shared" si="9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10">SUM(C38:C41)</f>
        <v>0</v>
      </c>
      <c r="D37" s="71">
        <f t="shared" si="10"/>
        <v>0</v>
      </c>
      <c r="E37" s="71">
        <f t="shared" si="10"/>
        <v>0</v>
      </c>
      <c r="F37" s="71">
        <f t="shared" si="10"/>
        <v>0</v>
      </c>
      <c r="G37" s="71">
        <f>SUM(G38:G41)</f>
        <v>0</v>
      </c>
    </row>
    <row r="38" spans="1:7" x14ac:dyDescent="0.25">
      <c r="A38" s="69" t="s">
        <v>391</v>
      </c>
      <c r="B38" s="159"/>
      <c r="C38" s="159"/>
      <c r="D38" s="159">
        <f t="shared" ref="D38:D41" si="11">B38+C38</f>
        <v>0</v>
      </c>
      <c r="E38" s="159"/>
      <c r="F38" s="159"/>
      <c r="G38" s="72">
        <f>D38-E38</f>
        <v>0</v>
      </c>
    </row>
    <row r="39" spans="1:7" ht="30" x14ac:dyDescent="0.25">
      <c r="A39" s="69" t="s">
        <v>392</v>
      </c>
      <c r="B39" s="159"/>
      <c r="C39" s="159"/>
      <c r="D39" s="159">
        <f t="shared" si="11"/>
        <v>0</v>
      </c>
      <c r="E39" s="159"/>
      <c r="F39" s="159"/>
      <c r="G39" s="72">
        <f t="shared" ref="G39:G41" si="12">D39-E39</f>
        <v>0</v>
      </c>
    </row>
    <row r="40" spans="1:7" x14ac:dyDescent="0.25">
      <c r="A40" s="69" t="s">
        <v>393</v>
      </c>
      <c r="B40" s="159"/>
      <c r="C40" s="159"/>
      <c r="D40" s="159">
        <f t="shared" si="11"/>
        <v>0</v>
      </c>
      <c r="E40" s="159"/>
      <c r="F40" s="159"/>
      <c r="G40" s="72">
        <f t="shared" si="12"/>
        <v>0</v>
      </c>
    </row>
    <row r="41" spans="1:7" x14ac:dyDescent="0.25">
      <c r="A41" s="69" t="s">
        <v>394</v>
      </c>
      <c r="B41" s="159"/>
      <c r="C41" s="159"/>
      <c r="D41" s="159">
        <f t="shared" si="11"/>
        <v>0</v>
      </c>
      <c r="E41" s="159"/>
      <c r="F41" s="159"/>
      <c r="G41" s="72">
        <f t="shared" si="12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13">SUM(C44,C53,C61,C71)</f>
        <v>0</v>
      </c>
      <c r="D43" s="73">
        <f t="shared" si="13"/>
        <v>0</v>
      </c>
      <c r="E43" s="73">
        <f t="shared" si="13"/>
        <v>0</v>
      </c>
      <c r="F43" s="73">
        <f t="shared" si="13"/>
        <v>0</v>
      </c>
      <c r="G43" s="73">
        <f t="shared" si="13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4">SUM(C45:C52)</f>
        <v>0</v>
      </c>
      <c r="D44" s="72">
        <f t="shared" si="14"/>
        <v>0</v>
      </c>
      <c r="E44" s="72">
        <f t="shared" si="14"/>
        <v>0</v>
      </c>
      <c r="F44" s="72">
        <f t="shared" si="14"/>
        <v>0</v>
      </c>
      <c r="G44" s="72">
        <f t="shared" si="14"/>
        <v>0</v>
      </c>
    </row>
    <row r="45" spans="1:7" x14ac:dyDescent="0.25">
      <c r="A45" s="69" t="s">
        <v>365</v>
      </c>
      <c r="B45" s="159"/>
      <c r="C45" s="159"/>
      <c r="D45" s="159">
        <f t="shared" ref="D45:D52" si="15">B45+C45</f>
        <v>0</v>
      </c>
      <c r="E45" s="159"/>
      <c r="F45" s="159"/>
      <c r="G45" s="72">
        <f>D45-E45</f>
        <v>0</v>
      </c>
    </row>
    <row r="46" spans="1:7" x14ac:dyDescent="0.25">
      <c r="A46" s="69" t="s">
        <v>366</v>
      </c>
      <c r="B46" s="159"/>
      <c r="C46" s="159"/>
      <c r="D46" s="159">
        <f t="shared" si="15"/>
        <v>0</v>
      </c>
      <c r="E46" s="159"/>
      <c r="F46" s="159"/>
      <c r="G46" s="72">
        <f t="shared" ref="G46:G52" si="16">D46-E46</f>
        <v>0</v>
      </c>
    </row>
    <row r="47" spans="1:7" x14ac:dyDescent="0.25">
      <c r="A47" s="69" t="s">
        <v>367</v>
      </c>
      <c r="B47" s="159"/>
      <c r="C47" s="159"/>
      <c r="D47" s="159">
        <f t="shared" si="15"/>
        <v>0</v>
      </c>
      <c r="E47" s="159"/>
      <c r="F47" s="159"/>
      <c r="G47" s="72">
        <f t="shared" si="16"/>
        <v>0</v>
      </c>
    </row>
    <row r="48" spans="1:7" x14ac:dyDescent="0.25">
      <c r="A48" s="69" t="s">
        <v>368</v>
      </c>
      <c r="B48" s="159"/>
      <c r="C48" s="159"/>
      <c r="D48" s="159">
        <f t="shared" si="15"/>
        <v>0</v>
      </c>
      <c r="E48" s="159"/>
      <c r="F48" s="159"/>
      <c r="G48" s="72">
        <f t="shared" si="16"/>
        <v>0</v>
      </c>
    </row>
    <row r="49" spans="1:7" x14ac:dyDescent="0.25">
      <c r="A49" s="69" t="s">
        <v>369</v>
      </c>
      <c r="B49" s="159"/>
      <c r="C49" s="159"/>
      <c r="D49" s="159">
        <f t="shared" si="15"/>
        <v>0</v>
      </c>
      <c r="E49" s="159"/>
      <c r="F49" s="159"/>
      <c r="G49" s="72">
        <f t="shared" si="16"/>
        <v>0</v>
      </c>
    </row>
    <row r="50" spans="1:7" x14ac:dyDescent="0.25">
      <c r="A50" s="69" t="s">
        <v>370</v>
      </c>
      <c r="B50" s="159"/>
      <c r="C50" s="159"/>
      <c r="D50" s="159">
        <f t="shared" si="15"/>
        <v>0</v>
      </c>
      <c r="E50" s="159"/>
      <c r="F50" s="159"/>
      <c r="G50" s="72">
        <f t="shared" si="16"/>
        <v>0</v>
      </c>
    </row>
    <row r="51" spans="1:7" x14ac:dyDescent="0.25">
      <c r="A51" s="69" t="s">
        <v>371</v>
      </c>
      <c r="B51" s="159"/>
      <c r="C51" s="159"/>
      <c r="D51" s="159">
        <f t="shared" si="15"/>
        <v>0</v>
      </c>
      <c r="E51" s="159"/>
      <c r="F51" s="159"/>
      <c r="G51" s="72">
        <f t="shared" si="16"/>
        <v>0</v>
      </c>
    </row>
    <row r="52" spans="1:7" x14ac:dyDescent="0.25">
      <c r="A52" s="69" t="s">
        <v>372</v>
      </c>
      <c r="B52" s="159"/>
      <c r="C52" s="159"/>
      <c r="D52" s="159">
        <f t="shared" si="15"/>
        <v>0</v>
      </c>
      <c r="E52" s="159"/>
      <c r="F52" s="159"/>
      <c r="G52" s="72">
        <f t="shared" si="16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7">SUM(C54:C60)</f>
        <v>0</v>
      </c>
      <c r="D53" s="71">
        <f t="shared" si="17"/>
        <v>0</v>
      </c>
      <c r="E53" s="71">
        <f t="shared" si="17"/>
        <v>0</v>
      </c>
      <c r="F53" s="71">
        <f t="shared" si="17"/>
        <v>0</v>
      </c>
      <c r="G53" s="71">
        <f t="shared" si="17"/>
        <v>0</v>
      </c>
    </row>
    <row r="54" spans="1:7" x14ac:dyDescent="0.25">
      <c r="A54" s="69" t="s">
        <v>374</v>
      </c>
      <c r="B54" s="159"/>
      <c r="C54" s="159"/>
      <c r="D54" s="159">
        <f t="shared" ref="D54:D60" si="18">B54+C54</f>
        <v>0</v>
      </c>
      <c r="E54" s="159"/>
      <c r="F54" s="159"/>
      <c r="G54" s="72">
        <f>D54-E54</f>
        <v>0</v>
      </c>
    </row>
    <row r="55" spans="1:7" x14ac:dyDescent="0.25">
      <c r="A55" s="69" t="s">
        <v>375</v>
      </c>
      <c r="B55" s="159"/>
      <c r="C55" s="159"/>
      <c r="D55" s="159">
        <f t="shared" si="18"/>
        <v>0</v>
      </c>
      <c r="E55" s="159"/>
      <c r="F55" s="159"/>
      <c r="G55" s="72">
        <f t="shared" ref="G55:G60" si="19">D55-E55</f>
        <v>0</v>
      </c>
    </row>
    <row r="56" spans="1:7" x14ac:dyDescent="0.25">
      <c r="A56" s="69" t="s">
        <v>376</v>
      </c>
      <c r="B56" s="159"/>
      <c r="C56" s="159"/>
      <c r="D56" s="159">
        <f t="shared" si="18"/>
        <v>0</v>
      </c>
      <c r="E56" s="159"/>
      <c r="F56" s="159"/>
      <c r="G56" s="72">
        <f t="shared" si="19"/>
        <v>0</v>
      </c>
    </row>
    <row r="57" spans="1:7" x14ac:dyDescent="0.25">
      <c r="A57" s="48" t="s">
        <v>377</v>
      </c>
      <c r="B57" s="159"/>
      <c r="C57" s="159"/>
      <c r="D57" s="159">
        <f t="shared" si="18"/>
        <v>0</v>
      </c>
      <c r="E57" s="159"/>
      <c r="F57" s="159"/>
      <c r="G57" s="72">
        <f t="shared" si="19"/>
        <v>0</v>
      </c>
    </row>
    <row r="58" spans="1:7" x14ac:dyDescent="0.25">
      <c r="A58" s="69" t="s">
        <v>378</v>
      </c>
      <c r="B58" s="159"/>
      <c r="C58" s="159"/>
      <c r="D58" s="159">
        <f t="shared" si="18"/>
        <v>0</v>
      </c>
      <c r="E58" s="159"/>
      <c r="F58" s="159"/>
      <c r="G58" s="72">
        <f t="shared" si="19"/>
        <v>0</v>
      </c>
    </row>
    <row r="59" spans="1:7" x14ac:dyDescent="0.25">
      <c r="A59" s="69" t="s">
        <v>379</v>
      </c>
      <c r="B59" s="159"/>
      <c r="C59" s="159"/>
      <c r="D59" s="159">
        <f t="shared" si="18"/>
        <v>0</v>
      </c>
      <c r="E59" s="159"/>
      <c r="F59" s="159"/>
      <c r="G59" s="72">
        <f t="shared" si="19"/>
        <v>0</v>
      </c>
    </row>
    <row r="60" spans="1:7" x14ac:dyDescent="0.25">
      <c r="A60" s="69" t="s">
        <v>380</v>
      </c>
      <c r="B60" s="159"/>
      <c r="C60" s="159"/>
      <c r="D60" s="159">
        <f t="shared" si="18"/>
        <v>0</v>
      </c>
      <c r="E60" s="159"/>
      <c r="F60" s="159"/>
      <c r="G60" s="72">
        <f t="shared" si="19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20">SUM(C62:C70)</f>
        <v>0</v>
      </c>
      <c r="D61" s="71">
        <f t="shared" si="20"/>
        <v>0</v>
      </c>
      <c r="E61" s="71">
        <f t="shared" si="20"/>
        <v>0</v>
      </c>
      <c r="F61" s="71">
        <f t="shared" si="20"/>
        <v>0</v>
      </c>
      <c r="G61" s="71">
        <f t="shared" si="20"/>
        <v>0</v>
      </c>
    </row>
    <row r="62" spans="1:7" x14ac:dyDescent="0.25">
      <c r="A62" s="69" t="s">
        <v>382</v>
      </c>
      <c r="B62" s="159"/>
      <c r="C62" s="159"/>
      <c r="D62" s="159">
        <f t="shared" ref="D62:D70" si="21">B62+C62</f>
        <v>0</v>
      </c>
      <c r="E62" s="159"/>
      <c r="F62" s="159"/>
      <c r="G62" s="72">
        <f>D62-E62</f>
        <v>0</v>
      </c>
    </row>
    <row r="63" spans="1:7" x14ac:dyDescent="0.25">
      <c r="A63" s="69" t="s">
        <v>383</v>
      </c>
      <c r="B63" s="159"/>
      <c r="C63" s="159"/>
      <c r="D63" s="159">
        <f t="shared" si="21"/>
        <v>0</v>
      </c>
      <c r="E63" s="159"/>
      <c r="F63" s="159"/>
      <c r="G63" s="72">
        <f t="shared" ref="G63:G70" si="22">D63-E63</f>
        <v>0</v>
      </c>
    </row>
    <row r="64" spans="1:7" x14ac:dyDescent="0.25">
      <c r="A64" s="69" t="s">
        <v>384</v>
      </c>
      <c r="B64" s="159"/>
      <c r="C64" s="159"/>
      <c r="D64" s="159">
        <f t="shared" si="21"/>
        <v>0</v>
      </c>
      <c r="E64" s="159"/>
      <c r="F64" s="159"/>
      <c r="G64" s="72">
        <f t="shared" si="22"/>
        <v>0</v>
      </c>
    </row>
    <row r="65" spans="1:8" x14ac:dyDescent="0.25">
      <c r="A65" s="69" t="s">
        <v>385</v>
      </c>
      <c r="B65" s="159"/>
      <c r="C65" s="159"/>
      <c r="D65" s="159">
        <f t="shared" si="21"/>
        <v>0</v>
      </c>
      <c r="E65" s="159"/>
      <c r="F65" s="159"/>
      <c r="G65" s="72">
        <f t="shared" si="22"/>
        <v>0</v>
      </c>
    </row>
    <row r="66" spans="1:8" x14ac:dyDescent="0.25">
      <c r="A66" s="69" t="s">
        <v>386</v>
      </c>
      <c r="B66" s="159"/>
      <c r="C66" s="159"/>
      <c r="D66" s="159">
        <f t="shared" si="21"/>
        <v>0</v>
      </c>
      <c r="E66" s="159"/>
      <c r="F66" s="159"/>
      <c r="G66" s="72">
        <f t="shared" si="22"/>
        <v>0</v>
      </c>
    </row>
    <row r="67" spans="1:8" x14ac:dyDescent="0.25">
      <c r="A67" s="69" t="s">
        <v>387</v>
      </c>
      <c r="B67" s="159"/>
      <c r="C67" s="159"/>
      <c r="D67" s="159">
        <f t="shared" si="21"/>
        <v>0</v>
      </c>
      <c r="E67" s="159"/>
      <c r="F67" s="159"/>
      <c r="G67" s="72">
        <f t="shared" si="22"/>
        <v>0</v>
      </c>
    </row>
    <row r="68" spans="1:8" x14ac:dyDescent="0.25">
      <c r="A68" s="69" t="s">
        <v>388</v>
      </c>
      <c r="B68" s="159"/>
      <c r="C68" s="159"/>
      <c r="D68" s="159">
        <f t="shared" si="21"/>
        <v>0</v>
      </c>
      <c r="E68" s="159"/>
      <c r="F68" s="159"/>
      <c r="G68" s="72">
        <f t="shared" si="22"/>
        <v>0</v>
      </c>
    </row>
    <row r="69" spans="1:8" x14ac:dyDescent="0.25">
      <c r="A69" s="69" t="s">
        <v>389</v>
      </c>
      <c r="B69" s="159"/>
      <c r="C69" s="159"/>
      <c r="D69" s="159">
        <f t="shared" si="21"/>
        <v>0</v>
      </c>
      <c r="E69" s="159"/>
      <c r="F69" s="159"/>
      <c r="G69" s="72">
        <f t="shared" si="22"/>
        <v>0</v>
      </c>
    </row>
    <row r="70" spans="1:8" x14ac:dyDescent="0.25">
      <c r="A70" s="69" t="s">
        <v>390</v>
      </c>
      <c r="B70" s="159"/>
      <c r="C70" s="159"/>
      <c r="D70" s="159">
        <f t="shared" si="21"/>
        <v>0</v>
      </c>
      <c r="E70" s="159"/>
      <c r="F70" s="159"/>
      <c r="G70" s="72">
        <f t="shared" si="22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23">SUM(C72:C75)</f>
        <v>0</v>
      </c>
      <c r="D71" s="74">
        <f t="shared" si="23"/>
        <v>0</v>
      </c>
      <c r="E71" s="74">
        <f t="shared" si="23"/>
        <v>0</v>
      </c>
      <c r="F71" s="74">
        <f t="shared" si="23"/>
        <v>0</v>
      </c>
      <c r="G71" s="74">
        <f>SUM(G72:G75)</f>
        <v>0</v>
      </c>
    </row>
    <row r="72" spans="1:8" x14ac:dyDescent="0.25">
      <c r="A72" s="69" t="s">
        <v>391</v>
      </c>
      <c r="B72" s="159"/>
      <c r="C72" s="159"/>
      <c r="D72" s="159">
        <f t="shared" ref="D72:D75" si="24">B72+C72</f>
        <v>0</v>
      </c>
      <c r="E72" s="159"/>
      <c r="F72" s="159"/>
      <c r="G72" s="72">
        <f>D72-E72</f>
        <v>0</v>
      </c>
    </row>
    <row r="73" spans="1:8" ht="30" x14ac:dyDescent="0.25">
      <c r="A73" s="69" t="s">
        <v>392</v>
      </c>
      <c r="B73" s="159"/>
      <c r="C73" s="159"/>
      <c r="D73" s="159">
        <f t="shared" si="24"/>
        <v>0</v>
      </c>
      <c r="E73" s="159"/>
      <c r="F73" s="159"/>
      <c r="G73" s="72">
        <f t="shared" ref="G73:G75" si="25">D73-E73</f>
        <v>0</v>
      </c>
    </row>
    <row r="74" spans="1:8" x14ac:dyDescent="0.25">
      <c r="A74" s="69" t="s">
        <v>393</v>
      </c>
      <c r="B74" s="159"/>
      <c r="C74" s="159"/>
      <c r="D74" s="159">
        <f t="shared" si="24"/>
        <v>0</v>
      </c>
      <c r="E74" s="159"/>
      <c r="F74" s="159"/>
      <c r="G74" s="72">
        <f t="shared" si="25"/>
        <v>0</v>
      </c>
    </row>
    <row r="75" spans="1:8" x14ac:dyDescent="0.25">
      <c r="A75" s="69" t="s">
        <v>394</v>
      </c>
      <c r="B75" s="159"/>
      <c r="C75" s="159"/>
      <c r="D75" s="159">
        <f t="shared" si="24"/>
        <v>0</v>
      </c>
      <c r="E75" s="159"/>
      <c r="F75" s="159"/>
      <c r="G75" s="72">
        <f t="shared" si="25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62406668.469999999</v>
      </c>
      <c r="C77" s="73">
        <f t="shared" ref="C77:F77" si="26">C43+C9</f>
        <v>9084969.9900000002</v>
      </c>
      <c r="D77" s="73">
        <f t="shared" si="26"/>
        <v>71491638.459999993</v>
      </c>
      <c r="E77" s="73">
        <f t="shared" si="26"/>
        <v>44724666.849999994</v>
      </c>
      <c r="F77" s="73">
        <f t="shared" si="26"/>
        <v>40775466.390000001</v>
      </c>
      <c r="G77" s="73">
        <f>G43+G9</f>
        <v>26766971.609999999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62406668.469999999</v>
      </c>
      <c r="Q2" s="18">
        <f>'Formato 6 c)'!C9</f>
        <v>9084969.9900000002</v>
      </c>
      <c r="R2" s="18">
        <f>'Formato 6 c)'!D9</f>
        <v>71491638.459999993</v>
      </c>
      <c r="S2" s="18">
        <f>'Formato 6 c)'!E9</f>
        <v>44724666.849999994</v>
      </c>
      <c r="T2" s="18">
        <f>'Formato 6 c)'!F9</f>
        <v>40775466.390000001</v>
      </c>
      <c r="U2" s="18">
        <f>'Formato 6 c)'!G9</f>
        <v>26766971.609999999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12711011</v>
      </c>
      <c r="Q3" s="18">
        <f>'Formato 6 c)'!C10</f>
        <v>-438687.52</v>
      </c>
      <c r="R3" s="18">
        <f>'Formato 6 c)'!D10</f>
        <v>12272323.48</v>
      </c>
      <c r="S3" s="18">
        <f>'Formato 6 c)'!E10</f>
        <v>6511170.6899999995</v>
      </c>
      <c r="T3" s="18">
        <f>'Formato 6 c)'!F10</f>
        <v>6511000.6899999995</v>
      </c>
      <c r="U3" s="18">
        <f>'Formato 6 c)'!G10</f>
        <v>5761152.790000001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11185023</v>
      </c>
      <c r="Q8" s="18">
        <f>'Formato 6 c)'!C15</f>
        <v>-462396.52</v>
      </c>
      <c r="R8" s="18">
        <f>'Formato 6 c)'!D15</f>
        <v>10722626.48</v>
      </c>
      <c r="S8" s="18">
        <f>'Formato 6 c)'!E15</f>
        <v>5801348.5999999996</v>
      </c>
      <c r="T8" s="18">
        <f>'Formato 6 c)'!F15</f>
        <v>5801348.5999999996</v>
      </c>
      <c r="U8" s="18">
        <f>'Formato 6 c)'!G15</f>
        <v>4921277.8800000008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1525988</v>
      </c>
      <c r="Q11" s="18">
        <f>'Formato 6 c)'!C18</f>
        <v>23709</v>
      </c>
      <c r="R11" s="18">
        <f>'Formato 6 c)'!D18</f>
        <v>1549697</v>
      </c>
      <c r="S11" s="18">
        <f>'Formato 6 c)'!E18</f>
        <v>709822.09</v>
      </c>
      <c r="T11" s="18">
        <f>'Formato 6 c)'!F18</f>
        <v>709652.09</v>
      </c>
      <c r="U11" s="18">
        <f>'Formato 6 c)'!G18</f>
        <v>839874.91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49695657.469999999</v>
      </c>
      <c r="Q12" s="18">
        <f>'Formato 6 c)'!C19</f>
        <v>9523657.5099999998</v>
      </c>
      <c r="R12" s="18">
        <f>'Formato 6 c)'!D19</f>
        <v>59219314.979999997</v>
      </c>
      <c r="S12" s="18">
        <f>'Formato 6 c)'!E19</f>
        <v>38213496.159999996</v>
      </c>
      <c r="T12" s="18">
        <f>'Formato 6 c)'!F19</f>
        <v>34264465.700000003</v>
      </c>
      <c r="U12" s="18">
        <f>'Formato 6 c)'!G19</f>
        <v>21005818.819999997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10934865</v>
      </c>
      <c r="Q13" s="18">
        <f>'Formato 6 c)'!C20</f>
        <v>1390116.61</v>
      </c>
      <c r="R13" s="18">
        <f>'Formato 6 c)'!D20</f>
        <v>12324981.609999999</v>
      </c>
      <c r="S13" s="18">
        <f>'Formato 6 c)'!E20</f>
        <v>9270604.6099999994</v>
      </c>
      <c r="T13" s="18">
        <f>'Formato 6 c)'!F20</f>
        <v>9175014.6099999994</v>
      </c>
      <c r="U13" s="18">
        <f>'Formato 6 c)'!G20</f>
        <v>3054377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38760792.469999999</v>
      </c>
      <c r="Q14" s="18">
        <f>'Formato 6 c)'!C21</f>
        <v>8133540.9000000004</v>
      </c>
      <c r="R14" s="18">
        <f>'Formato 6 c)'!D21</f>
        <v>46894333.369999997</v>
      </c>
      <c r="S14" s="18">
        <f>'Formato 6 c)'!E21</f>
        <v>28942891.550000001</v>
      </c>
      <c r="T14" s="18">
        <f>'Formato 6 c)'!F21</f>
        <v>25089451.09</v>
      </c>
      <c r="U14" s="18">
        <f>'Formato 6 c)'!G21</f>
        <v>17951441.819999997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62406668.469999999</v>
      </c>
      <c r="Q68" s="18">
        <f>'Formato 6 c)'!C77</f>
        <v>9084969.9900000002</v>
      </c>
      <c r="R68" s="18">
        <f>'Formato 6 c)'!D77</f>
        <v>71491638.459999993</v>
      </c>
      <c r="S68" s="18">
        <f>'Formato 6 c)'!E77</f>
        <v>44724666.849999994</v>
      </c>
      <c r="T68" s="18">
        <f>'Formato 6 c)'!F77</f>
        <v>40775466.390000001</v>
      </c>
      <c r="U68" s="18">
        <f>'Formato 6 c)'!G77</f>
        <v>26766971.609999999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MUNICIPAL DE AGUA POTABLE Y ALCANTARILLADO DE CORTAZAR, GTO., Gobierno del Estado de Guanajuato</v>
      </c>
    </row>
    <row r="7" spans="2:3" ht="14.25" x14ac:dyDescent="0.45">
      <c r="C7" t="str">
        <f>CONCATENATE(ENTE_PUBLICO," (a)")</f>
        <v>JUNTA MUNICIPAL DE AGUA POTABLE Y ALCANTARILLADO DE CORTAZAR,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Cortazar,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3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39">
        <v>-1.7976931348623099E+100</v>
      </c>
      <c r="E30" s="139">
        <v>1.7976931348623099E+100</v>
      </c>
    </row>
    <row r="32" spans="4:9" ht="14.25" x14ac:dyDescent="0.45">
      <c r="D32" t="s">
        <v>3145</v>
      </c>
      <c r="E32" t="s">
        <v>3146</v>
      </c>
    </row>
    <row r="33" spans="4:5" ht="14.25" x14ac:dyDescent="0.4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3" zoomScale="90" zoomScaleNormal="90" workbookViewId="0">
      <selection activeCell="B17" sqref="B17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88" t="s">
        <v>3287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1"/>
    </row>
    <row r="3" spans="1:7" x14ac:dyDescent="0.25">
      <c r="A3" s="175" t="s">
        <v>277</v>
      </c>
      <c r="B3" s="176"/>
      <c r="C3" s="176"/>
      <c r="D3" s="176"/>
      <c r="E3" s="176"/>
      <c r="F3" s="176"/>
      <c r="G3" s="177"/>
    </row>
    <row r="4" spans="1:7" x14ac:dyDescent="0.25">
      <c r="A4" s="175" t="s">
        <v>399</v>
      </c>
      <c r="B4" s="176"/>
      <c r="C4" s="176"/>
      <c r="D4" s="176"/>
      <c r="E4" s="176"/>
      <c r="F4" s="176"/>
      <c r="G4" s="177"/>
    </row>
    <row r="5" spans="1:7" ht="14.25" x14ac:dyDescent="0.45">
      <c r="A5" s="175" t="str">
        <f>TRIMESTRE</f>
        <v>Del 1 de enero al 30 de septiembre de 2019 (b)</v>
      </c>
      <c r="B5" s="176"/>
      <c r="C5" s="176"/>
      <c r="D5" s="176"/>
      <c r="E5" s="176"/>
      <c r="F5" s="176"/>
      <c r="G5" s="177"/>
    </row>
    <row r="6" spans="1:7" ht="14.25" x14ac:dyDescent="0.45">
      <c r="A6" s="178" t="s">
        <v>118</v>
      </c>
      <c r="B6" s="179"/>
      <c r="C6" s="179"/>
      <c r="D6" s="179"/>
      <c r="E6" s="179"/>
      <c r="F6" s="179"/>
      <c r="G6" s="180"/>
    </row>
    <row r="7" spans="1:7" x14ac:dyDescent="0.25">
      <c r="A7" s="184" t="s">
        <v>361</v>
      </c>
      <c r="B7" s="189" t="s">
        <v>279</v>
      </c>
      <c r="C7" s="189"/>
      <c r="D7" s="189"/>
      <c r="E7" s="189"/>
      <c r="F7" s="189"/>
      <c r="G7" s="189" t="s">
        <v>280</v>
      </c>
    </row>
    <row r="8" spans="1:7" ht="29.25" customHeight="1" x14ac:dyDescent="0.25">
      <c r="A8" s="185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6"/>
    </row>
    <row r="9" spans="1:7" ht="14.25" x14ac:dyDescent="0.45">
      <c r="A9" s="52" t="s">
        <v>400</v>
      </c>
      <c r="B9" s="66">
        <f>SUM(B10,B11,B12,B15,B16,B19)</f>
        <v>23499091.469999999</v>
      </c>
      <c r="C9" s="66">
        <f t="shared" ref="C9:F9" si="0">SUM(C10,C11,C12,C15,C16,C19)</f>
        <v>569513</v>
      </c>
      <c r="D9" s="66">
        <f t="shared" si="0"/>
        <v>24068604.469999999</v>
      </c>
      <c r="E9" s="66">
        <f t="shared" si="0"/>
        <v>14496647.289999999</v>
      </c>
      <c r="F9" s="66">
        <f t="shared" si="0"/>
        <v>14496647.289999999</v>
      </c>
      <c r="G9" s="66">
        <f>SUM(G10,G11,G12,G15,G16,G19)</f>
        <v>9571957.1799999997</v>
      </c>
    </row>
    <row r="10" spans="1:7" x14ac:dyDescent="0.25">
      <c r="A10" s="53" t="s">
        <v>401</v>
      </c>
      <c r="B10" s="161">
        <v>23499091.469999999</v>
      </c>
      <c r="C10" s="161">
        <v>569513</v>
      </c>
      <c r="D10" s="162">
        <f>B10+C10</f>
        <v>24068604.469999999</v>
      </c>
      <c r="E10" s="161">
        <v>14496647.289999999</v>
      </c>
      <c r="F10" s="161">
        <v>14496647.289999999</v>
      </c>
      <c r="G10" s="162">
        <f>D10-E10</f>
        <v>9571957.1799999997</v>
      </c>
    </row>
    <row r="11" spans="1:7" x14ac:dyDescent="0.25">
      <c r="A11" s="53" t="s">
        <v>402</v>
      </c>
      <c r="B11" s="162"/>
      <c r="C11" s="162"/>
      <c r="D11" s="162">
        <f>B11+C11</f>
        <v>0</v>
      </c>
      <c r="E11" s="162"/>
      <c r="F11" s="162"/>
      <c r="G11" s="67">
        <f>D11-E11</f>
        <v>0</v>
      </c>
    </row>
    <row r="12" spans="1:7" x14ac:dyDescent="0.25">
      <c r="A12" s="53" t="s">
        <v>403</v>
      </c>
      <c r="B12" s="162">
        <f>B13+B14</f>
        <v>0</v>
      </c>
      <c r="C12" s="162">
        <f t="shared" ref="C12:F12" si="1">C13+C14</f>
        <v>0</v>
      </c>
      <c r="D12" s="162">
        <f t="shared" si="1"/>
        <v>0</v>
      </c>
      <c r="E12" s="162">
        <f t="shared" si="1"/>
        <v>0</v>
      </c>
      <c r="F12" s="162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162"/>
      <c r="C13" s="162"/>
      <c r="D13" s="162">
        <f>B13+C13</f>
        <v>0</v>
      </c>
      <c r="E13" s="162"/>
      <c r="F13" s="162"/>
      <c r="G13" s="67">
        <f>D13-E13</f>
        <v>0</v>
      </c>
    </row>
    <row r="14" spans="1:7" x14ac:dyDescent="0.25">
      <c r="A14" s="63" t="s">
        <v>405</v>
      </c>
      <c r="B14" s="162"/>
      <c r="C14" s="162"/>
      <c r="D14" s="162">
        <f>B14+C14</f>
        <v>0</v>
      </c>
      <c r="E14" s="162"/>
      <c r="F14" s="162"/>
      <c r="G14" s="67">
        <f t="shared" ref="G14:G15" si="2">D14-E14</f>
        <v>0</v>
      </c>
    </row>
    <row r="15" spans="1:7" x14ac:dyDescent="0.25">
      <c r="A15" s="53" t="s">
        <v>406</v>
      </c>
      <c r="B15" s="162"/>
      <c r="C15" s="162"/>
      <c r="D15" s="162">
        <f>B15+C15</f>
        <v>0</v>
      </c>
      <c r="E15" s="162"/>
      <c r="F15" s="162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162"/>
      <c r="C17" s="162"/>
      <c r="D17" s="162">
        <f>B17+C17</f>
        <v>0</v>
      </c>
      <c r="E17" s="162"/>
      <c r="F17" s="162"/>
      <c r="G17" s="67">
        <f>D17-E17</f>
        <v>0</v>
      </c>
    </row>
    <row r="18" spans="1:7" x14ac:dyDescent="0.25">
      <c r="A18" s="63" t="s">
        <v>409</v>
      </c>
      <c r="B18" s="162"/>
      <c r="C18" s="162"/>
      <c r="D18" s="162">
        <f>B18+C18</f>
        <v>0</v>
      </c>
      <c r="E18" s="162"/>
      <c r="F18" s="162"/>
      <c r="G18" s="67">
        <f>D18-E18</f>
        <v>0</v>
      </c>
    </row>
    <row r="19" spans="1:7" x14ac:dyDescent="0.25">
      <c r="A19" s="53" t="s">
        <v>410</v>
      </c>
      <c r="B19" s="162"/>
      <c r="C19" s="162"/>
      <c r="D19" s="162">
        <f>B19+C19</f>
        <v>0</v>
      </c>
      <c r="E19" s="162"/>
      <c r="F19" s="162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61">
        <v>0</v>
      </c>
      <c r="C22" s="161">
        <v>0</v>
      </c>
      <c r="D22" s="162">
        <f>B22+C22</f>
        <v>0</v>
      </c>
      <c r="E22" s="161">
        <v>0</v>
      </c>
      <c r="F22" s="161">
        <v>0</v>
      </c>
      <c r="G22" s="67">
        <f>D22-E22</f>
        <v>0</v>
      </c>
    </row>
    <row r="23" spans="1:7" s="24" customFormat="1" x14ac:dyDescent="0.25">
      <c r="A23" s="53" t="s">
        <v>402</v>
      </c>
      <c r="B23" s="162"/>
      <c r="C23" s="162"/>
      <c r="D23" s="162">
        <f>B23+C23</f>
        <v>0</v>
      </c>
      <c r="E23" s="162"/>
      <c r="F23" s="162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162"/>
      <c r="C25" s="162"/>
      <c r="D25" s="162">
        <f>B25+C25</f>
        <v>0</v>
      </c>
      <c r="E25" s="162"/>
      <c r="F25" s="162"/>
      <c r="G25" s="67">
        <f>D25-E25</f>
        <v>0</v>
      </c>
    </row>
    <row r="26" spans="1:7" s="24" customFormat="1" x14ac:dyDescent="0.25">
      <c r="A26" s="63" t="s">
        <v>405</v>
      </c>
      <c r="B26" s="162"/>
      <c r="C26" s="162"/>
      <c r="D26" s="162">
        <f>B26+C26</f>
        <v>0</v>
      </c>
      <c r="E26" s="162"/>
      <c r="F26" s="162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162"/>
      <c r="C27" s="162"/>
      <c r="D27" s="162"/>
      <c r="E27" s="162"/>
      <c r="F27" s="162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162"/>
      <c r="C29" s="162"/>
      <c r="D29" s="162">
        <f>B29+C29</f>
        <v>0</v>
      </c>
      <c r="E29" s="162"/>
      <c r="F29" s="162"/>
      <c r="G29" s="67">
        <f>D29-E29</f>
        <v>0</v>
      </c>
    </row>
    <row r="30" spans="1:7" s="24" customFormat="1" x14ac:dyDescent="0.25">
      <c r="A30" s="63" t="s">
        <v>409</v>
      </c>
      <c r="B30" s="162"/>
      <c r="C30" s="162"/>
      <c r="D30" s="162">
        <f>B30+C30</f>
        <v>0</v>
      </c>
      <c r="E30" s="162"/>
      <c r="F30" s="162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162"/>
      <c r="C31" s="162"/>
      <c r="D31" s="162">
        <f>B31+C31</f>
        <v>0</v>
      </c>
      <c r="E31" s="162"/>
      <c r="F31" s="162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23499091.469999999</v>
      </c>
      <c r="C33" s="66">
        <f t="shared" ref="C33:G33" si="9">C21+C9</f>
        <v>569513</v>
      </c>
      <c r="D33" s="66">
        <f t="shared" si="9"/>
        <v>24068604.469999999</v>
      </c>
      <c r="E33" s="66">
        <f t="shared" si="9"/>
        <v>14496647.289999999</v>
      </c>
      <c r="F33" s="66">
        <f t="shared" si="9"/>
        <v>14496647.289999999</v>
      </c>
      <c r="G33" s="66">
        <f t="shared" si="9"/>
        <v>9571957.1799999997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23499091.469999999</v>
      </c>
      <c r="Q2" s="18">
        <f>'Formato 6 d)'!C9</f>
        <v>569513</v>
      </c>
      <c r="R2" s="18">
        <f>'Formato 6 d)'!D9</f>
        <v>24068604.469999999</v>
      </c>
      <c r="S2" s="18">
        <f>'Formato 6 d)'!E9</f>
        <v>14496647.289999999</v>
      </c>
      <c r="T2" s="18">
        <f>'Formato 6 d)'!F9</f>
        <v>14496647.289999999</v>
      </c>
      <c r="U2" s="18">
        <f>'Formato 6 d)'!G9</f>
        <v>9571957.1799999997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23499091.469999999</v>
      </c>
      <c r="Q3" s="18">
        <f>'Formato 6 d)'!C10</f>
        <v>569513</v>
      </c>
      <c r="R3" s="18">
        <f>'Formato 6 d)'!D10</f>
        <v>24068604.469999999</v>
      </c>
      <c r="S3" s="18">
        <f>'Formato 6 d)'!E10</f>
        <v>14496647.289999999</v>
      </c>
      <c r="T3" s="18">
        <f>'Formato 6 d)'!F10</f>
        <v>14496647.289999999</v>
      </c>
      <c r="U3" s="18">
        <f>'Formato 6 d)'!G10</f>
        <v>9571957.1799999997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23499091.469999999</v>
      </c>
      <c r="Q24" s="18">
        <f>'Formato 6 d)'!C33</f>
        <v>569513</v>
      </c>
      <c r="R24" s="18">
        <f>'Formato 6 d)'!D33</f>
        <v>24068604.469999999</v>
      </c>
      <c r="S24" s="18">
        <f>'Formato 6 d)'!E33</f>
        <v>14496647.289999999</v>
      </c>
      <c r="T24" s="18">
        <f>'Formato 6 d)'!F33</f>
        <v>14496647.289999999</v>
      </c>
      <c r="U24" s="18">
        <f>'Formato 6 d)'!G33</f>
        <v>9571957.1799999997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B38" sqref="B3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87" t="s">
        <v>413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414</v>
      </c>
      <c r="B3" s="173"/>
      <c r="C3" s="173"/>
      <c r="D3" s="173"/>
      <c r="E3" s="173"/>
      <c r="F3" s="173"/>
      <c r="G3" s="174"/>
    </row>
    <row r="4" spans="1:7" ht="14.25" x14ac:dyDescent="0.45">
      <c r="A4" s="172" t="s">
        <v>118</v>
      </c>
      <c r="B4" s="173"/>
      <c r="C4" s="173"/>
      <c r="D4" s="173"/>
      <c r="E4" s="173"/>
      <c r="F4" s="173"/>
      <c r="G4" s="174"/>
    </row>
    <row r="5" spans="1:7" ht="14.25" x14ac:dyDescent="0.45">
      <c r="A5" s="172" t="s">
        <v>415</v>
      </c>
      <c r="B5" s="173"/>
      <c r="C5" s="173"/>
      <c r="D5" s="173"/>
      <c r="E5" s="173"/>
      <c r="F5" s="173"/>
      <c r="G5" s="174"/>
    </row>
    <row r="6" spans="1:7" x14ac:dyDescent="0.25">
      <c r="A6" s="184" t="s">
        <v>3288</v>
      </c>
      <c r="B6" s="51">
        <f>ANIO1P</f>
        <v>2020</v>
      </c>
      <c r="C6" s="197" t="str">
        <f>ANIO2P</f>
        <v>2021 (d)</v>
      </c>
      <c r="D6" s="197" t="str">
        <f>ANIO3P</f>
        <v>2022 (d)</v>
      </c>
      <c r="E6" s="197" t="str">
        <f>ANIO4P</f>
        <v>2023 (d)</v>
      </c>
      <c r="F6" s="197" t="str">
        <f>ANIO5P</f>
        <v>2024 (d)</v>
      </c>
      <c r="G6" s="197" t="str">
        <f>ANIO6P</f>
        <v>2025 (d)</v>
      </c>
    </row>
    <row r="7" spans="1:7" ht="48" customHeight="1" x14ac:dyDescent="0.25">
      <c r="A7" s="185"/>
      <c r="B7" s="88" t="s">
        <v>3291</v>
      </c>
      <c r="C7" s="198"/>
      <c r="D7" s="198"/>
      <c r="E7" s="198"/>
      <c r="F7" s="198"/>
      <c r="G7" s="198"/>
    </row>
    <row r="8" spans="1:7" x14ac:dyDescent="0.25">
      <c r="A8" s="52" t="s">
        <v>421</v>
      </c>
      <c r="B8" s="59">
        <f>SUM(B9:B20)</f>
        <v>65174953</v>
      </c>
      <c r="C8" s="59">
        <f t="shared" ref="C8:G8" si="0">SUM(C9:C20)</f>
        <v>97762429.5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5.75" x14ac:dyDescent="0.25">
      <c r="A9" s="53" t="s">
        <v>216</v>
      </c>
      <c r="B9" s="163">
        <v>0</v>
      </c>
      <c r="C9" s="60">
        <f>B9*1.5</f>
        <v>0</v>
      </c>
      <c r="D9" s="60">
        <v>2</v>
      </c>
      <c r="E9" s="60">
        <v>2.5</v>
      </c>
      <c r="F9" s="60">
        <v>3</v>
      </c>
      <c r="G9" s="60">
        <v>3.5</v>
      </c>
    </row>
    <row r="10" spans="1:7" ht="15.75" x14ac:dyDescent="0.25">
      <c r="A10" s="53" t="s">
        <v>217</v>
      </c>
      <c r="B10" s="163">
        <v>0</v>
      </c>
      <c r="C10" s="60">
        <f t="shared" ref="C10:C20" si="1">B10*1.5</f>
        <v>0</v>
      </c>
      <c r="D10" s="60">
        <v>2</v>
      </c>
      <c r="E10" s="60">
        <v>2.5</v>
      </c>
      <c r="F10" s="60">
        <v>3</v>
      </c>
      <c r="G10" s="60">
        <v>3.5</v>
      </c>
    </row>
    <row r="11" spans="1:7" ht="15.75" x14ac:dyDescent="0.25">
      <c r="A11" s="53" t="s">
        <v>218</v>
      </c>
      <c r="B11" s="163">
        <v>0</v>
      </c>
      <c r="C11" s="60">
        <f t="shared" si="1"/>
        <v>0</v>
      </c>
      <c r="D11" s="60">
        <v>2</v>
      </c>
      <c r="E11" s="60">
        <v>2.5</v>
      </c>
      <c r="F11" s="60">
        <v>3</v>
      </c>
      <c r="G11" s="60">
        <v>3.5</v>
      </c>
    </row>
    <row r="12" spans="1:7" ht="15.75" x14ac:dyDescent="0.25">
      <c r="A12" s="53" t="s">
        <v>416</v>
      </c>
      <c r="B12" s="163">
        <v>63448281</v>
      </c>
      <c r="C12" s="60">
        <f t="shared" si="1"/>
        <v>95172421.5</v>
      </c>
      <c r="D12" s="60">
        <v>2</v>
      </c>
      <c r="E12" s="60">
        <v>2.5</v>
      </c>
      <c r="F12" s="60">
        <v>3</v>
      </c>
      <c r="G12" s="60">
        <v>3.5</v>
      </c>
    </row>
    <row r="13" spans="1:7" ht="15.75" x14ac:dyDescent="0.25">
      <c r="A13" s="53" t="s">
        <v>220</v>
      </c>
      <c r="B13" s="163">
        <v>131672</v>
      </c>
      <c r="C13" s="60">
        <f t="shared" si="1"/>
        <v>197508</v>
      </c>
      <c r="D13" s="60">
        <v>2</v>
      </c>
      <c r="E13" s="60">
        <v>2.5</v>
      </c>
      <c r="F13" s="60">
        <v>3</v>
      </c>
      <c r="G13" s="60">
        <v>3.5</v>
      </c>
    </row>
    <row r="14" spans="1:7" ht="15.75" x14ac:dyDescent="0.25">
      <c r="A14" s="53" t="s">
        <v>221</v>
      </c>
      <c r="B14" s="163">
        <v>1380000</v>
      </c>
      <c r="C14" s="60">
        <f t="shared" si="1"/>
        <v>2070000</v>
      </c>
      <c r="D14" s="60">
        <v>2</v>
      </c>
      <c r="E14" s="60">
        <v>2.5</v>
      </c>
      <c r="F14" s="60">
        <v>3</v>
      </c>
      <c r="G14" s="60">
        <v>3.5</v>
      </c>
    </row>
    <row r="15" spans="1:7" ht="15.75" x14ac:dyDescent="0.25">
      <c r="A15" s="53" t="s">
        <v>417</v>
      </c>
      <c r="B15" s="163">
        <v>215000</v>
      </c>
      <c r="C15" s="60">
        <f t="shared" si="1"/>
        <v>322500</v>
      </c>
      <c r="D15" s="60">
        <v>2</v>
      </c>
      <c r="E15" s="60">
        <v>2.5</v>
      </c>
      <c r="F15" s="60">
        <v>3</v>
      </c>
      <c r="G15" s="60">
        <v>3.5</v>
      </c>
    </row>
    <row r="16" spans="1:7" ht="15.75" x14ac:dyDescent="0.25">
      <c r="A16" s="53" t="s">
        <v>418</v>
      </c>
      <c r="B16" s="163">
        <v>0</v>
      </c>
      <c r="C16" s="60">
        <f t="shared" si="1"/>
        <v>0</v>
      </c>
      <c r="D16" s="60">
        <v>2</v>
      </c>
      <c r="E16" s="60">
        <v>2.5</v>
      </c>
      <c r="F16" s="60">
        <v>3</v>
      </c>
      <c r="G16" s="60">
        <v>3.5</v>
      </c>
    </row>
    <row r="17" spans="1:7" ht="15.75" x14ac:dyDescent="0.25">
      <c r="A17" s="10" t="s">
        <v>419</v>
      </c>
      <c r="B17" s="163">
        <v>0</v>
      </c>
      <c r="C17" s="60">
        <f t="shared" si="1"/>
        <v>0</v>
      </c>
      <c r="D17" s="60">
        <v>2</v>
      </c>
      <c r="E17" s="60">
        <v>2.5</v>
      </c>
      <c r="F17" s="60">
        <v>3</v>
      </c>
      <c r="G17" s="60">
        <v>3.5</v>
      </c>
    </row>
    <row r="18" spans="1:7" ht="15.75" x14ac:dyDescent="0.25">
      <c r="A18" s="53" t="s">
        <v>240</v>
      </c>
      <c r="B18" s="163">
        <v>0</v>
      </c>
      <c r="C18" s="60">
        <f t="shared" si="1"/>
        <v>0</v>
      </c>
      <c r="D18" s="60">
        <v>2</v>
      </c>
      <c r="E18" s="60">
        <v>2.5</v>
      </c>
      <c r="F18" s="60">
        <v>3</v>
      </c>
      <c r="G18" s="60">
        <v>3.5</v>
      </c>
    </row>
    <row r="19" spans="1:7" ht="15.75" x14ac:dyDescent="0.25">
      <c r="A19" s="53" t="s">
        <v>241</v>
      </c>
      <c r="B19" s="163">
        <v>0</v>
      </c>
      <c r="C19" s="60">
        <f t="shared" si="1"/>
        <v>0</v>
      </c>
      <c r="D19" s="60">
        <v>2</v>
      </c>
      <c r="E19" s="60">
        <v>2.5</v>
      </c>
      <c r="F19" s="60">
        <v>3</v>
      </c>
      <c r="G19" s="60">
        <v>3.5</v>
      </c>
    </row>
    <row r="20" spans="1:7" ht="15.75" x14ac:dyDescent="0.25">
      <c r="A20" s="53" t="s">
        <v>420</v>
      </c>
      <c r="B20" s="163">
        <v>0</v>
      </c>
      <c r="C20" s="60">
        <f t="shared" si="1"/>
        <v>0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2137320</v>
      </c>
      <c r="C22" s="61">
        <f t="shared" ref="C22:G22" si="2">SUM(C23:C27)</f>
        <v>3205980</v>
      </c>
      <c r="D22" s="61">
        <f t="shared" si="2"/>
        <v>10</v>
      </c>
      <c r="E22" s="61">
        <f t="shared" si="2"/>
        <v>12.5</v>
      </c>
      <c r="F22" s="61">
        <f t="shared" si="2"/>
        <v>15</v>
      </c>
      <c r="G22" s="61">
        <f t="shared" si="2"/>
        <v>17.5</v>
      </c>
    </row>
    <row r="23" spans="1:7" x14ac:dyDescent="0.25">
      <c r="A23" s="53" t="s">
        <v>423</v>
      </c>
      <c r="B23" s="60">
        <v>0</v>
      </c>
      <c r="C23" s="60">
        <f t="shared" ref="C23:C27" si="3">B23*1.5</f>
        <v>0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424</v>
      </c>
      <c r="B24" s="60">
        <v>2137320</v>
      </c>
      <c r="C24" s="60">
        <f t="shared" si="3"/>
        <v>3205980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425</v>
      </c>
      <c r="B25" s="60">
        <v>0</v>
      </c>
      <c r="C25" s="60">
        <f t="shared" si="3"/>
        <v>0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6" t="s">
        <v>265</v>
      </c>
      <c r="B26" s="60">
        <v>0</v>
      </c>
      <c r="C26" s="60">
        <f t="shared" si="3"/>
        <v>0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266</v>
      </c>
      <c r="B27" s="60">
        <v>0</v>
      </c>
      <c r="C27" s="60">
        <f t="shared" si="3"/>
        <v>0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4">C30</f>
        <v>0</v>
      </c>
      <c r="D29" s="61">
        <f t="shared" si="4"/>
        <v>2</v>
      </c>
      <c r="E29" s="61">
        <f t="shared" si="4"/>
        <v>2.5</v>
      </c>
      <c r="F29" s="61">
        <f t="shared" si="4"/>
        <v>3</v>
      </c>
      <c r="G29" s="61">
        <f t="shared" si="4"/>
        <v>3.5</v>
      </c>
    </row>
    <row r="30" spans="1:7" x14ac:dyDescent="0.25">
      <c r="A30" s="53" t="s">
        <v>269</v>
      </c>
      <c r="B30" s="60">
        <v>0</v>
      </c>
      <c r="C30" s="60">
        <f t="shared" ref="C30" si="5">B30*1.5</f>
        <v>0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67312273</v>
      </c>
      <c r="C32" s="61">
        <f t="shared" ref="C32:F32" si="6">C29+C22+C8</f>
        <v>100968409.5</v>
      </c>
      <c r="D32" s="61">
        <f t="shared" si="6"/>
        <v>36</v>
      </c>
      <c r="E32" s="61">
        <f t="shared" si="6"/>
        <v>45</v>
      </c>
      <c r="F32" s="61">
        <f t="shared" si="6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f t="shared" ref="C35:C36" si="7">B35*1.5</f>
        <v>0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0</v>
      </c>
      <c r="C36" s="60">
        <f t="shared" si="7"/>
        <v>0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8">C36+C35</f>
        <v>0</v>
      </c>
      <c r="D37" s="61">
        <f t="shared" si="8"/>
        <v>4</v>
      </c>
      <c r="E37" s="61">
        <f t="shared" si="8"/>
        <v>5</v>
      </c>
      <c r="F37" s="61">
        <f t="shared" si="8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65174953</v>
      </c>
      <c r="Q2" s="18">
        <f>'Formato 7 a)'!C8</f>
        <v>97762429.5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63448281</v>
      </c>
      <c r="Q6" s="18">
        <f>'Formato 7 a)'!C12</f>
        <v>95172421.5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131672</v>
      </c>
      <c r="Q7" s="18">
        <f>'Formato 7 a)'!C13</f>
        <v>197508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1380000</v>
      </c>
      <c r="Q8" s="18">
        <f>'Formato 7 a)'!C14</f>
        <v>2070000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215000</v>
      </c>
      <c r="Q9" s="18">
        <f>'Formato 7 a)'!C15</f>
        <v>322500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2137320</v>
      </c>
      <c r="Q15" s="18">
        <f>'Formato 7 a)'!C22</f>
        <v>3205980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2137320</v>
      </c>
      <c r="Q17" s="18">
        <f>'Formato 7 a)'!C24</f>
        <v>3205980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67312273</v>
      </c>
      <c r="Q23" s="18">
        <f>'Formato 7 a)'!C32</f>
        <v>100968409.5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B31" sqref="B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87" t="s">
        <v>451</v>
      </c>
      <c r="B1" s="187"/>
      <c r="C1" s="187"/>
      <c r="D1" s="187"/>
      <c r="E1" s="187"/>
      <c r="F1" s="187"/>
      <c r="G1" s="187"/>
    </row>
    <row r="2" spans="1:7" customFormat="1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customFormat="1" ht="14.25" x14ac:dyDescent="0.45">
      <c r="A3" s="172" t="s">
        <v>452</v>
      </c>
      <c r="B3" s="173"/>
      <c r="C3" s="173"/>
      <c r="D3" s="173"/>
      <c r="E3" s="173"/>
      <c r="F3" s="173"/>
      <c r="G3" s="174"/>
    </row>
    <row r="4" spans="1:7" customFormat="1" ht="14.25" x14ac:dyDescent="0.45">
      <c r="A4" s="172" t="s">
        <v>118</v>
      </c>
      <c r="B4" s="173"/>
      <c r="C4" s="173"/>
      <c r="D4" s="173"/>
      <c r="E4" s="173"/>
      <c r="F4" s="173"/>
      <c r="G4" s="174"/>
    </row>
    <row r="5" spans="1:7" customFormat="1" ht="14.25" x14ac:dyDescent="0.45">
      <c r="A5" s="172" t="s">
        <v>415</v>
      </c>
      <c r="B5" s="173"/>
      <c r="C5" s="173"/>
      <c r="D5" s="173"/>
      <c r="E5" s="173"/>
      <c r="F5" s="173"/>
      <c r="G5" s="174"/>
    </row>
    <row r="6" spans="1:7" customFormat="1" x14ac:dyDescent="0.25">
      <c r="A6" s="199" t="s">
        <v>3142</v>
      </c>
      <c r="B6" s="51">
        <f>ANIO1P</f>
        <v>2020</v>
      </c>
      <c r="C6" s="197" t="str">
        <f>ANIO2P</f>
        <v>2021 (d)</v>
      </c>
      <c r="D6" s="197" t="str">
        <f>ANIO3P</f>
        <v>2022 (d)</v>
      </c>
      <c r="E6" s="197" t="str">
        <f>ANIO4P</f>
        <v>2023 (d)</v>
      </c>
      <c r="F6" s="197" t="str">
        <f>ANIO5P</f>
        <v>2024 (d)</v>
      </c>
      <c r="G6" s="197" t="str">
        <f>ANIO6P</f>
        <v>2025 (d)</v>
      </c>
    </row>
    <row r="7" spans="1:7" customFormat="1" ht="48" customHeight="1" x14ac:dyDescent="0.25">
      <c r="A7" s="200"/>
      <c r="B7" s="88" t="s">
        <v>3291</v>
      </c>
      <c r="C7" s="198"/>
      <c r="D7" s="198"/>
      <c r="E7" s="198"/>
      <c r="F7" s="198"/>
      <c r="G7" s="198"/>
    </row>
    <row r="8" spans="1:7" x14ac:dyDescent="0.25">
      <c r="A8" s="52" t="s">
        <v>453</v>
      </c>
      <c r="B8" s="59">
        <f>SUM(B9:B17)</f>
        <v>63257273</v>
      </c>
      <c r="C8" s="59">
        <f t="shared" ref="C8:G8" si="0">SUM(C9:C17)</f>
        <v>94885909.5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25882548</v>
      </c>
      <c r="C9" s="60">
        <f>B9*1.5</f>
        <v>38823822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7836410</v>
      </c>
      <c r="C10" s="60">
        <f t="shared" ref="C10:C17" si="1">B10*1.5</f>
        <v>11754615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19231969</v>
      </c>
      <c r="C11" s="60">
        <f t="shared" si="1"/>
        <v>28847953.5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10000</v>
      </c>
      <c r="C12" s="60">
        <f t="shared" si="1"/>
        <v>15000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1172681</v>
      </c>
      <c r="C13" s="60">
        <f t="shared" si="1"/>
        <v>1759021.5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f>13178665-B25</f>
        <v>9123665</v>
      </c>
      <c r="C14" s="60">
        <f t="shared" si="1"/>
        <v>13685497.5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0</v>
      </c>
      <c r="C15" s="60">
        <f t="shared" si="1"/>
        <v>0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0</v>
      </c>
      <c r="C16" s="60">
        <f t="shared" si="1"/>
        <v>0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0</v>
      </c>
      <c r="C17" s="60">
        <f t="shared" si="1"/>
        <v>0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4055000</v>
      </c>
      <c r="C19" s="61">
        <f t="shared" ref="C19:G19" si="2">SUM(C20:C28)</f>
        <v>6082500</v>
      </c>
      <c r="D19" s="61">
        <f t="shared" si="2"/>
        <v>18</v>
      </c>
      <c r="E19" s="61">
        <f t="shared" si="2"/>
        <v>22.5</v>
      </c>
      <c r="F19" s="61">
        <f t="shared" si="2"/>
        <v>27</v>
      </c>
      <c r="G19" s="61">
        <f t="shared" si="2"/>
        <v>31.5</v>
      </c>
    </row>
    <row r="20" spans="1:7" x14ac:dyDescent="0.25">
      <c r="A20" s="53" t="s">
        <v>454</v>
      </c>
      <c r="B20" s="60">
        <v>0</v>
      </c>
      <c r="C20" s="60">
        <f t="shared" ref="C20:C28" si="3">B20*1.5</f>
        <v>0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0</v>
      </c>
      <c r="C21" s="60">
        <f t="shared" si="3"/>
        <v>0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0</v>
      </c>
      <c r="C22" s="60">
        <f t="shared" si="3"/>
        <v>0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0</v>
      </c>
      <c r="C23" s="60">
        <f t="shared" si="3"/>
        <v>0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0</v>
      </c>
      <c r="C24" s="60">
        <f t="shared" si="3"/>
        <v>0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4055000</v>
      </c>
      <c r="C25" s="60">
        <f t="shared" si="3"/>
        <v>6082500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/>
      <c r="C26" s="60">
        <f t="shared" si="3"/>
        <v>0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0</v>
      </c>
      <c r="C27" s="60">
        <f t="shared" si="3"/>
        <v>0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0</v>
      </c>
      <c r="C28" s="60">
        <f t="shared" si="3"/>
        <v>0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67312273</v>
      </c>
      <c r="C30" s="61">
        <f t="shared" ref="C30:G30" si="4">C8+C19</f>
        <v>100968409.5</v>
      </c>
      <c r="D30" s="61">
        <f t="shared" si="4"/>
        <v>36</v>
      </c>
      <c r="E30" s="61">
        <f t="shared" si="4"/>
        <v>45</v>
      </c>
      <c r="F30" s="61">
        <f t="shared" si="4"/>
        <v>54</v>
      </c>
      <c r="G30" s="61">
        <f t="shared" si="4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63257273</v>
      </c>
      <c r="Q2" s="18">
        <f>'Formato 7 b)'!C8</f>
        <v>94885909.5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25882548</v>
      </c>
      <c r="Q3" s="18">
        <f>'Formato 7 b)'!C9</f>
        <v>38823822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7836410</v>
      </c>
      <c r="Q4" s="18">
        <f>'Formato 7 b)'!C10</f>
        <v>11754615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19231969</v>
      </c>
      <c r="Q5" s="18">
        <f>'Formato 7 b)'!C11</f>
        <v>28847953.5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10000</v>
      </c>
      <c r="Q6" s="18">
        <f>'Formato 7 b)'!C12</f>
        <v>15000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1172681</v>
      </c>
      <c r="Q7" s="18">
        <f>'Formato 7 b)'!C13</f>
        <v>1759021.5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9123665</v>
      </c>
      <c r="Q8" s="18">
        <f>'Formato 7 b)'!C14</f>
        <v>13685497.5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4055000</v>
      </c>
      <c r="Q12" s="18">
        <f>'Formato 7 b)'!C19</f>
        <v>6082500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4055000</v>
      </c>
      <c r="Q18" s="18">
        <f>'Formato 7 b)'!C25</f>
        <v>6082500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67312273</v>
      </c>
      <c r="Q22" s="18">
        <f>'Formato 7 b)'!C30</f>
        <v>100968409.5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4" zoomScale="90" zoomScaleNormal="90" workbookViewId="0">
      <selection activeCell="G13" sqref="G13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7" t="s">
        <v>466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467</v>
      </c>
      <c r="B3" s="173"/>
      <c r="C3" s="173"/>
      <c r="D3" s="173"/>
      <c r="E3" s="173"/>
      <c r="F3" s="173"/>
      <c r="G3" s="174"/>
    </row>
    <row r="4" spans="1:7" ht="14.25" x14ac:dyDescent="0.4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4" t="s">
        <v>3288</v>
      </c>
      <c r="B5" s="202" t="str">
        <f>ANIO5R</f>
        <v>2014 ¹ (c)</v>
      </c>
      <c r="C5" s="202" t="str">
        <f>ANIO4R</f>
        <v>2015 ¹ (c)</v>
      </c>
      <c r="D5" s="202" t="str">
        <f>ANIO3R</f>
        <v>2016 ¹ (c)</v>
      </c>
      <c r="E5" s="202" t="str">
        <f>ANIO2R</f>
        <v>2017 ¹ (c)</v>
      </c>
      <c r="F5" s="202" t="str">
        <f>ANIO1R</f>
        <v>2018 ¹ (c)</v>
      </c>
      <c r="G5" s="51">
        <f>ANIO_INFORME</f>
        <v>2019</v>
      </c>
    </row>
    <row r="6" spans="1:7" ht="32.1" customHeight="1" x14ac:dyDescent="0.25">
      <c r="A6" s="205"/>
      <c r="B6" s="203"/>
      <c r="C6" s="203"/>
      <c r="D6" s="203"/>
      <c r="E6" s="203"/>
      <c r="F6" s="203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68738319</v>
      </c>
      <c r="G7" s="59">
        <f t="shared" si="0"/>
        <v>48201612.949999996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164"/>
      <c r="G8" s="60">
        <v>0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164"/>
      <c r="G9" s="60">
        <v>0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164"/>
      <c r="G10" s="60">
        <v>0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164">
        <v>61328789</v>
      </c>
      <c r="G11" s="60">
        <v>46623658.07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164">
        <v>349799</v>
      </c>
      <c r="G12" s="60">
        <v>173560.44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164">
        <v>1213630</v>
      </c>
      <c r="G13" s="60">
        <v>120403.53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164">
        <v>115522</v>
      </c>
      <c r="G14" s="60">
        <v>0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164">
        <v>2878571</v>
      </c>
      <c r="G15" s="60">
        <v>1283990.9099999999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164"/>
      <c r="G16" s="60">
        <v>0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164"/>
      <c r="G17" s="60">
        <v>0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164"/>
      <c r="G18" s="60">
        <v>0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164">
        <v>2852008</v>
      </c>
      <c r="G19" s="60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164"/>
      <c r="G22" s="60">
        <v>0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164"/>
      <c r="G23" s="60">
        <v>0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164"/>
      <c r="G24" s="60">
        <v>0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164"/>
      <c r="G25" s="60">
        <v>0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164"/>
      <c r="G26" s="60">
        <v>0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164"/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68738319</v>
      </c>
      <c r="G31" s="61">
        <f t="shared" si="3"/>
        <v>48201612.949999996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164"/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164"/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0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1" t="s">
        <v>3292</v>
      </c>
      <c r="B39" s="201"/>
      <c r="C39" s="201"/>
      <c r="D39" s="201"/>
      <c r="E39" s="201"/>
      <c r="F39" s="201"/>
      <c r="G39" s="201"/>
    </row>
    <row r="40" spans="1:7" ht="15" customHeight="1" x14ac:dyDescent="0.25">
      <c r="A40" s="201" t="s">
        <v>3293</v>
      </c>
      <c r="B40" s="201"/>
      <c r="C40" s="201"/>
      <c r="D40" s="201"/>
      <c r="E40" s="201"/>
      <c r="F40" s="201"/>
      <c r="G40" s="201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68738319</v>
      </c>
      <c r="U2" s="18">
        <f>'Formato 7 c)'!G7</f>
        <v>48201612.949999996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61328789</v>
      </c>
      <c r="U6" s="18">
        <f>'Formato 7 c)'!G11</f>
        <v>46623658.07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349799</v>
      </c>
      <c r="U7" s="18">
        <f>'Formato 7 c)'!G12</f>
        <v>173560.44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1213630</v>
      </c>
      <c r="U8" s="18">
        <f>'Formato 7 c)'!G13</f>
        <v>120403.53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115522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2878571</v>
      </c>
      <c r="U10" s="18">
        <f>'Formato 7 c)'!G15</f>
        <v>1283990.9099999999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2852008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68738319</v>
      </c>
      <c r="U23" s="18">
        <f>'Formato 7 c)'!G31</f>
        <v>48201612.949999996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0</v>
      </c>
      <c r="U25" s="18">
        <f>'Formato 7 c)'!G34</f>
        <v>2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0</v>
      </c>
      <c r="U26" s="18">
        <f>'Formato 7 c)'!G35</f>
        <v>2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0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4" zoomScale="90" zoomScaleNormal="90" workbookViewId="0">
      <selection activeCell="G14" sqref="G14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87" t="s">
        <v>490</v>
      </c>
      <c r="B1" s="187"/>
      <c r="C1" s="187"/>
      <c r="D1" s="187"/>
      <c r="E1" s="187"/>
      <c r="F1" s="187"/>
      <c r="G1" s="187"/>
    </row>
    <row r="2" spans="1:7" ht="14.25" x14ac:dyDescent="0.45">
      <c r="A2" s="169" t="str">
        <f>ENTIDAD</f>
        <v>Municipio de Cortazar, Gobierno del Estado de Guanajuato</v>
      </c>
      <c r="B2" s="170"/>
      <c r="C2" s="170"/>
      <c r="D2" s="170"/>
      <c r="E2" s="170"/>
      <c r="F2" s="170"/>
      <c r="G2" s="171"/>
    </row>
    <row r="3" spans="1:7" ht="14.25" x14ac:dyDescent="0.45">
      <c r="A3" s="172" t="s">
        <v>491</v>
      </c>
      <c r="B3" s="173"/>
      <c r="C3" s="173"/>
      <c r="D3" s="173"/>
      <c r="E3" s="173"/>
      <c r="F3" s="173"/>
      <c r="G3" s="174"/>
    </row>
    <row r="4" spans="1:7" ht="14.25" x14ac:dyDescent="0.45">
      <c r="A4" s="178" t="s">
        <v>118</v>
      </c>
      <c r="B4" s="179"/>
      <c r="C4" s="179"/>
      <c r="D4" s="179"/>
      <c r="E4" s="179"/>
      <c r="F4" s="179"/>
      <c r="G4" s="180"/>
    </row>
    <row r="5" spans="1:7" x14ac:dyDescent="0.25">
      <c r="A5" s="206" t="s">
        <v>3142</v>
      </c>
      <c r="B5" s="202" t="str">
        <f>ANIO5R</f>
        <v>2014 ¹ (c)</v>
      </c>
      <c r="C5" s="202" t="str">
        <f>ANIO4R</f>
        <v>2015 ¹ (c)</v>
      </c>
      <c r="D5" s="202" t="str">
        <f>ANIO3R</f>
        <v>2016 ¹ (c)</v>
      </c>
      <c r="E5" s="202" t="str">
        <f>ANIO2R</f>
        <v>2017 ¹ (c)</v>
      </c>
      <c r="F5" s="202" t="str">
        <f>ANIO1R</f>
        <v>2018 ¹ (c)</v>
      </c>
      <c r="G5" s="51">
        <f>ANIO_INFORME</f>
        <v>2019</v>
      </c>
    </row>
    <row r="6" spans="1:7" ht="32.1" customHeight="1" x14ac:dyDescent="0.25">
      <c r="A6" s="207"/>
      <c r="B6" s="203"/>
      <c r="C6" s="203"/>
      <c r="D6" s="203"/>
      <c r="E6" s="203"/>
      <c r="F6" s="203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68738319</v>
      </c>
      <c r="G7" s="59">
        <f t="shared" si="0"/>
        <v>44724666.850000001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18273454</v>
      </c>
      <c r="G8" s="60">
        <v>14496647.289999999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6068248</v>
      </c>
      <c r="G9" s="60">
        <v>5151037.58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16131871</v>
      </c>
      <c r="G10" s="60">
        <v>12897838.789999999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1587757</v>
      </c>
      <c r="G11" s="60">
        <v>404838.67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1499294</v>
      </c>
      <c r="G12" s="60">
        <v>2078290.31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25177695</v>
      </c>
      <c r="G13" s="60">
        <v>9696014.2100000009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164">
        <v>0</v>
      </c>
      <c r="G19" s="60">
        <v>0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164">
        <v>0</v>
      </c>
      <c r="G20" s="60">
        <v>0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164">
        <v>0</v>
      </c>
      <c r="G21" s="60">
        <v>0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164">
        <v>0</v>
      </c>
      <c r="G22" s="60">
        <v>0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164">
        <v>0</v>
      </c>
      <c r="G23" s="60">
        <v>0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164">
        <v>0</v>
      </c>
      <c r="G24" s="60">
        <v>0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164">
        <v>0</v>
      </c>
      <c r="G25" s="60">
        <v>0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164">
        <v>0</v>
      </c>
      <c r="G26" s="60">
        <v>0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164">
        <v>0</v>
      </c>
      <c r="G27" s="60">
        <v>0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68738319</v>
      </c>
      <c r="G29" s="60">
        <f t="shared" si="2"/>
        <v>44724666.850000001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1" t="s">
        <v>3292</v>
      </c>
      <c r="B32" s="201"/>
      <c r="C32" s="201"/>
      <c r="D32" s="201"/>
      <c r="E32" s="201"/>
      <c r="F32" s="201"/>
      <c r="G32" s="201"/>
    </row>
    <row r="33" spans="1:7" x14ac:dyDescent="0.25">
      <c r="A33" s="201" t="s">
        <v>3293</v>
      </c>
      <c r="B33" s="201"/>
      <c r="C33" s="201"/>
      <c r="D33" s="201"/>
      <c r="E33" s="201"/>
      <c r="F33" s="201"/>
      <c r="G33" s="201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68738319</v>
      </c>
      <c r="U2" s="18">
        <f>'Formato 7 d)'!G7</f>
        <v>44724666.850000001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18273454</v>
      </c>
      <c r="U3" s="18">
        <f>'Formato 7 d)'!G8</f>
        <v>14496647.289999999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6068248</v>
      </c>
      <c r="U4" s="18">
        <f>'Formato 7 d)'!G9</f>
        <v>5151037.58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16131871</v>
      </c>
      <c r="U5" s="18">
        <f>'Formato 7 d)'!G10</f>
        <v>12897838.789999999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1587757</v>
      </c>
      <c r="U6" s="18">
        <f>'Formato 7 d)'!G11</f>
        <v>404838.67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1499294</v>
      </c>
      <c r="U7" s="18">
        <f>'Formato 7 d)'!G12</f>
        <v>2078290.31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25177695</v>
      </c>
      <c r="U8" s="18">
        <f>'Formato 7 d)'!G13</f>
        <v>9696014.2100000009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68738319</v>
      </c>
      <c r="U22" s="18">
        <f>'Formato 7 d)'!G29</f>
        <v>44724666.850000001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2" sqref="A2:F2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1" t="s">
        <v>495</v>
      </c>
      <c r="B1" s="181"/>
      <c r="C1" s="181"/>
      <c r="D1" s="181"/>
      <c r="E1" s="181"/>
      <c r="F1" s="181"/>
      <c r="G1" s="111"/>
    </row>
    <row r="2" spans="1:7" ht="14.25" x14ac:dyDescent="0.45">
      <c r="A2" s="169" t="str">
        <f>ENTE_PUBLICO</f>
        <v>JUNTA MUNICIPAL DE AGUA POTABLE Y ALCANTARILLADO DE CORTAZAR, GTO., Gobierno del Estado de Guanajuato</v>
      </c>
      <c r="B2" s="170"/>
      <c r="C2" s="170"/>
      <c r="D2" s="170"/>
      <c r="E2" s="170"/>
      <c r="F2" s="171"/>
    </row>
    <row r="3" spans="1:7" ht="14.25" x14ac:dyDescent="0.45">
      <c r="A3" s="178" t="s">
        <v>496</v>
      </c>
      <c r="B3" s="179"/>
      <c r="C3" s="179"/>
      <c r="D3" s="179"/>
      <c r="E3" s="179"/>
      <c r="F3" s="180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ht="14.25" x14ac:dyDescent="0.45">
      <c r="A25" s="136" t="s">
        <v>518</v>
      </c>
      <c r="B25" s="146"/>
      <c r="C25" s="60"/>
      <c r="D25" s="60"/>
      <c r="E25" s="60"/>
      <c r="F25" s="60"/>
    </row>
    <row r="26" spans="1:6" ht="14.25" x14ac:dyDescent="0.45">
      <c r="A26" s="137"/>
      <c r="B26" s="54"/>
      <c r="C26" s="54"/>
      <c r="D26" s="54"/>
      <c r="E26" s="54"/>
      <c r="F26" s="54"/>
    </row>
    <row r="27" spans="1:6" ht="14.25" x14ac:dyDescent="0.45">
      <c r="A27" s="135" t="s">
        <v>519</v>
      </c>
      <c r="B27" s="54"/>
      <c r="C27" s="54"/>
      <c r="D27" s="54"/>
      <c r="E27" s="54"/>
      <c r="F27" s="54"/>
    </row>
    <row r="28" spans="1:6" ht="14.25" x14ac:dyDescent="0.4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61" zoomScale="90" zoomScaleNormal="90" workbookViewId="0">
      <selection activeCell="E79" sqref="E79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81" t="s">
        <v>545</v>
      </c>
      <c r="B1" s="181"/>
      <c r="C1" s="181"/>
      <c r="D1" s="181"/>
      <c r="E1" s="181"/>
      <c r="F1" s="181"/>
    </row>
    <row r="2" spans="1:6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1"/>
    </row>
    <row r="3" spans="1:6" x14ac:dyDescent="0.25">
      <c r="A3" s="172" t="s">
        <v>117</v>
      </c>
      <c r="B3" s="173"/>
      <c r="C3" s="173"/>
      <c r="D3" s="173"/>
      <c r="E3" s="173"/>
      <c r="F3" s="174"/>
    </row>
    <row r="4" spans="1:6" ht="14.25" x14ac:dyDescent="0.45">
      <c r="A4" s="175" t="str">
        <f>PERIODO_INFORME</f>
        <v>Al 31 de diciembre de 2018 y al 30 de septiembre de 2019 (b)</v>
      </c>
      <c r="B4" s="176"/>
      <c r="C4" s="176"/>
      <c r="D4" s="176"/>
      <c r="E4" s="176"/>
      <c r="F4" s="177"/>
    </row>
    <row r="5" spans="1:6" ht="14.25" x14ac:dyDescent="0.45">
      <c r="A5" s="178" t="s">
        <v>118</v>
      </c>
      <c r="B5" s="179"/>
      <c r="C5" s="179"/>
      <c r="D5" s="179"/>
      <c r="E5" s="179"/>
      <c r="F5" s="180"/>
    </row>
    <row r="6" spans="1:6" s="3" customFormat="1" ht="28.5" x14ac:dyDescent="0.45">
      <c r="A6" s="132" t="s">
        <v>3284</v>
      </c>
      <c r="B6" s="133" t="str">
        <f>ANIO</f>
        <v>2019 (d)</v>
      </c>
      <c r="C6" s="130" t="str">
        <f>ULTIMO</f>
        <v>31 de diciembre de 2018 (e)</v>
      </c>
      <c r="D6" s="134" t="s">
        <v>0</v>
      </c>
      <c r="E6" s="133" t="str">
        <f>ANIO</f>
        <v>2019 (d)</v>
      </c>
      <c r="F6" s="130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39987978.82</v>
      </c>
      <c r="C9" s="60">
        <f>SUM(C10:C16)</f>
        <v>37657852.300000004</v>
      </c>
      <c r="D9" s="100" t="s">
        <v>54</v>
      </c>
      <c r="E9" s="60">
        <f>SUM(E10:E18)</f>
        <v>-870289.76999999979</v>
      </c>
      <c r="F9" s="60">
        <f>SUM(F10:F18)</f>
        <v>1365544.88</v>
      </c>
    </row>
    <row r="10" spans="1:6" x14ac:dyDescent="0.25">
      <c r="A10" s="96" t="s">
        <v>4</v>
      </c>
      <c r="B10" s="149"/>
      <c r="C10" s="149"/>
      <c r="D10" s="101" t="s">
        <v>55</v>
      </c>
      <c r="E10" s="208">
        <v>2246.9499999999998</v>
      </c>
      <c r="F10" s="208">
        <v>459890.55</v>
      </c>
    </row>
    <row r="11" spans="1:6" x14ac:dyDescent="0.25">
      <c r="A11" s="96" t="s">
        <v>5</v>
      </c>
      <c r="B11" s="149"/>
      <c r="C11" s="149"/>
      <c r="D11" s="101" t="s">
        <v>56</v>
      </c>
      <c r="E11" s="208">
        <v>15206.07</v>
      </c>
      <c r="F11" s="208">
        <v>447243.59</v>
      </c>
    </row>
    <row r="12" spans="1:6" x14ac:dyDescent="0.25">
      <c r="A12" s="96" t="s">
        <v>6</v>
      </c>
      <c r="B12" s="208">
        <v>32402072.09</v>
      </c>
      <c r="C12" s="208">
        <v>30347958.050000001</v>
      </c>
      <c r="D12" s="101" t="s">
        <v>57</v>
      </c>
      <c r="E12" s="208">
        <v>-1316081.77</v>
      </c>
      <c r="F12" s="208">
        <v>-322669.90000000002</v>
      </c>
    </row>
    <row r="13" spans="1:6" x14ac:dyDescent="0.25">
      <c r="A13" s="96" t="s">
        <v>7</v>
      </c>
      <c r="B13" s="208">
        <v>6033987.1399999997</v>
      </c>
      <c r="C13" s="208">
        <v>5827732.1799999997</v>
      </c>
      <c r="D13" s="101" t="s">
        <v>58</v>
      </c>
      <c r="E13" s="208"/>
      <c r="F13" s="208"/>
    </row>
    <row r="14" spans="1:6" x14ac:dyDescent="0.25">
      <c r="A14" s="96" t="s">
        <v>8</v>
      </c>
      <c r="B14" s="208">
        <v>1345838.99</v>
      </c>
      <c r="C14" s="208">
        <v>1276081.47</v>
      </c>
      <c r="D14" s="101" t="s">
        <v>59</v>
      </c>
      <c r="E14" s="208"/>
      <c r="F14" s="208"/>
    </row>
    <row r="15" spans="1:6" x14ac:dyDescent="0.25">
      <c r="A15" s="96" t="s">
        <v>9</v>
      </c>
      <c r="B15" s="208">
        <v>206080.6</v>
      </c>
      <c r="C15" s="208">
        <v>206080.6</v>
      </c>
      <c r="D15" s="101" t="s">
        <v>60</v>
      </c>
      <c r="E15" s="208"/>
      <c r="F15" s="208"/>
    </row>
    <row r="16" spans="1:6" x14ac:dyDescent="0.25">
      <c r="A16" s="96" t="s">
        <v>10</v>
      </c>
      <c r="B16" s="208"/>
      <c r="C16" s="208"/>
      <c r="D16" s="101" t="s">
        <v>61</v>
      </c>
      <c r="E16" s="208">
        <v>152587.39000000001</v>
      </c>
      <c r="F16" s="208">
        <v>123860.31</v>
      </c>
    </row>
    <row r="17" spans="1:6" x14ac:dyDescent="0.25">
      <c r="A17" s="95" t="s">
        <v>11</v>
      </c>
      <c r="B17" s="60">
        <f>SUM(B18:B24)</f>
        <v>4374176.2100000009</v>
      </c>
      <c r="C17" s="60">
        <f>SUM(C18:C24)</f>
        <v>4523318.12</v>
      </c>
      <c r="D17" s="101" t="s">
        <v>62</v>
      </c>
      <c r="E17" s="208"/>
      <c r="F17" s="208"/>
    </row>
    <row r="18" spans="1:6" x14ac:dyDescent="0.25">
      <c r="A18" s="97" t="s">
        <v>12</v>
      </c>
      <c r="B18" s="149"/>
      <c r="C18" s="149"/>
      <c r="D18" s="101" t="s">
        <v>63</v>
      </c>
      <c r="E18" s="208">
        <v>275751.59000000003</v>
      </c>
      <c r="F18" s="208">
        <v>657220.32999999996</v>
      </c>
    </row>
    <row r="19" spans="1:6" x14ac:dyDescent="0.25">
      <c r="A19" s="97" t="s">
        <v>13</v>
      </c>
      <c r="B19" s="208">
        <v>4344698.8600000003</v>
      </c>
      <c r="C19" s="208">
        <v>4516318.8499999996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208">
        <v>991.08</v>
      </c>
      <c r="C20" s="208">
        <v>-10000</v>
      </c>
      <c r="D20" s="101" t="s">
        <v>65</v>
      </c>
      <c r="E20" s="148">
        <v>0</v>
      </c>
      <c r="F20" s="148">
        <v>0</v>
      </c>
    </row>
    <row r="21" spans="1:6" x14ac:dyDescent="0.25">
      <c r="A21" s="97" t="s">
        <v>15</v>
      </c>
      <c r="B21" s="208">
        <v>-0.68</v>
      </c>
      <c r="C21" s="208">
        <v>-0.68</v>
      </c>
      <c r="D21" s="101" t="s">
        <v>66</v>
      </c>
      <c r="E21" s="148">
        <v>0</v>
      </c>
      <c r="F21" s="148">
        <v>0</v>
      </c>
    </row>
    <row r="22" spans="1:6" x14ac:dyDescent="0.25">
      <c r="A22" s="97" t="s">
        <v>16</v>
      </c>
      <c r="B22" s="208">
        <v>27000</v>
      </c>
      <c r="C22" s="208">
        <v>17000</v>
      </c>
      <c r="D22" s="101" t="s">
        <v>67</v>
      </c>
      <c r="E22" s="148">
        <v>0</v>
      </c>
      <c r="F22" s="148">
        <v>0</v>
      </c>
    </row>
    <row r="23" spans="1:6" x14ac:dyDescent="0.25">
      <c r="A23" s="97" t="s">
        <v>17</v>
      </c>
      <c r="B23" s="208"/>
      <c r="C23" s="208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208">
        <v>1486.95</v>
      </c>
      <c r="C24" s="208">
        <v>-0.05</v>
      </c>
      <c r="D24" s="101" t="s">
        <v>69</v>
      </c>
      <c r="E24" s="148">
        <v>0</v>
      </c>
      <c r="F24" s="148">
        <v>0</v>
      </c>
    </row>
    <row r="25" spans="1:6" x14ac:dyDescent="0.25">
      <c r="A25" s="95" t="s">
        <v>19</v>
      </c>
      <c r="B25" s="60">
        <f>SUM(B26:B30)</f>
        <v>444882.08</v>
      </c>
      <c r="C25" s="60">
        <f>SUM(C26:C30)</f>
        <v>85338.09</v>
      </c>
      <c r="D25" s="101" t="s">
        <v>70</v>
      </c>
      <c r="E25" s="148">
        <v>0</v>
      </c>
      <c r="F25" s="148">
        <v>0</v>
      </c>
    </row>
    <row r="26" spans="1:6" x14ac:dyDescent="0.25">
      <c r="A26" s="97" t="s">
        <v>20</v>
      </c>
      <c r="B26" s="208">
        <v>6867.22</v>
      </c>
      <c r="C26" s="208">
        <v>0</v>
      </c>
      <c r="D26" s="100" t="s">
        <v>71</v>
      </c>
      <c r="E26" s="148">
        <v>0</v>
      </c>
      <c r="F26" s="148">
        <v>0</v>
      </c>
    </row>
    <row r="27" spans="1:6" x14ac:dyDescent="0.25">
      <c r="A27" s="97" t="s">
        <v>21</v>
      </c>
      <c r="B27" s="208">
        <v>0</v>
      </c>
      <c r="C27" s="208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208">
        <v>202695.92</v>
      </c>
      <c r="C28" s="208">
        <v>0</v>
      </c>
      <c r="D28" s="101" t="s">
        <v>73</v>
      </c>
      <c r="E28" s="148">
        <v>0</v>
      </c>
      <c r="F28" s="148">
        <v>0</v>
      </c>
    </row>
    <row r="29" spans="1:6" x14ac:dyDescent="0.25">
      <c r="A29" s="97" t="s">
        <v>23</v>
      </c>
      <c r="B29" s="208">
        <v>235318.94</v>
      </c>
      <c r="C29" s="208">
        <v>85338.09</v>
      </c>
      <c r="D29" s="101" t="s">
        <v>74</v>
      </c>
      <c r="E29" s="148">
        <v>0</v>
      </c>
      <c r="F29" s="148">
        <v>0</v>
      </c>
    </row>
    <row r="30" spans="1:6" x14ac:dyDescent="0.25">
      <c r="A30" s="97" t="s">
        <v>24</v>
      </c>
      <c r="B30" s="208"/>
      <c r="C30" s="208"/>
      <c r="D30" s="101" t="s">
        <v>75</v>
      </c>
      <c r="E30" s="148">
        <v>0</v>
      </c>
      <c r="F30" s="148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206080.6</v>
      </c>
      <c r="F31" s="60">
        <f>SUM(F32:F37)</f>
        <v>206080.6</v>
      </c>
    </row>
    <row r="32" spans="1:6" x14ac:dyDescent="0.25">
      <c r="A32" s="97" t="s">
        <v>26</v>
      </c>
      <c r="B32" s="208">
        <v>0</v>
      </c>
      <c r="C32" s="208">
        <v>0</v>
      </c>
      <c r="D32" s="101" t="s">
        <v>77</v>
      </c>
      <c r="E32" s="208">
        <v>206080.6</v>
      </c>
      <c r="F32" s="208">
        <v>206080.6</v>
      </c>
    </row>
    <row r="33" spans="1:6" x14ac:dyDescent="0.25">
      <c r="A33" s="97" t="s">
        <v>27</v>
      </c>
      <c r="B33" s="208"/>
      <c r="C33" s="208"/>
      <c r="D33" s="101" t="s">
        <v>78</v>
      </c>
      <c r="E33" s="208"/>
      <c r="F33" s="208"/>
    </row>
    <row r="34" spans="1:6" x14ac:dyDescent="0.25">
      <c r="A34" s="97" t="s">
        <v>28</v>
      </c>
      <c r="B34" s="208"/>
      <c r="C34" s="208"/>
      <c r="D34" s="101" t="s">
        <v>79</v>
      </c>
      <c r="E34" s="208"/>
      <c r="F34" s="208"/>
    </row>
    <row r="35" spans="1:6" x14ac:dyDescent="0.25">
      <c r="A35" s="97" t="s">
        <v>29</v>
      </c>
      <c r="B35" s="208"/>
      <c r="C35" s="208"/>
      <c r="D35" s="101" t="s">
        <v>80</v>
      </c>
      <c r="E35" s="208"/>
      <c r="F35" s="208"/>
    </row>
    <row r="36" spans="1:6" x14ac:dyDescent="0.25">
      <c r="A36" s="97" t="s">
        <v>30</v>
      </c>
      <c r="B36" s="208"/>
      <c r="C36" s="208"/>
      <c r="D36" s="101" t="s">
        <v>81</v>
      </c>
      <c r="E36" s="208"/>
      <c r="F36" s="208"/>
    </row>
    <row r="37" spans="1:6" x14ac:dyDescent="0.25">
      <c r="A37" s="95" t="s">
        <v>31</v>
      </c>
      <c r="B37" s="208">
        <v>969396.18</v>
      </c>
      <c r="C37" s="208">
        <v>957667.81</v>
      </c>
      <c r="D37" s="101" t="s">
        <v>82</v>
      </c>
      <c r="E37" s="208"/>
      <c r="F37" s="208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8">
        <v>0</v>
      </c>
      <c r="C39" s="148">
        <v>0</v>
      </c>
      <c r="D39" s="101" t="s">
        <v>84</v>
      </c>
      <c r="E39" s="148">
        <v>0</v>
      </c>
      <c r="F39" s="148">
        <v>0</v>
      </c>
    </row>
    <row r="40" spans="1:6" x14ac:dyDescent="0.25">
      <c r="A40" s="97" t="s">
        <v>33</v>
      </c>
      <c r="B40" s="148">
        <v>0</v>
      </c>
      <c r="C40" s="148">
        <v>0</v>
      </c>
      <c r="D40" s="101" t="s">
        <v>85</v>
      </c>
      <c r="E40" s="148">
        <v>0</v>
      </c>
      <c r="F40" s="148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48">
        <v>0</v>
      </c>
      <c r="F41" s="148">
        <v>0</v>
      </c>
    </row>
    <row r="42" spans="1:6" x14ac:dyDescent="0.25">
      <c r="A42" s="97" t="s">
        <v>35</v>
      </c>
      <c r="B42" s="149"/>
      <c r="C42" s="149"/>
      <c r="D42" s="100" t="s">
        <v>87</v>
      </c>
      <c r="E42" s="60">
        <f>SUM(E43:E45)</f>
        <v>-0.68</v>
      </c>
      <c r="F42" s="60">
        <f>SUM(F43:F45)</f>
        <v>-0.68</v>
      </c>
    </row>
    <row r="43" spans="1:6" x14ac:dyDescent="0.25">
      <c r="A43" s="97" t="s">
        <v>36</v>
      </c>
      <c r="B43" s="149"/>
      <c r="C43" s="149"/>
      <c r="D43" s="101" t="s">
        <v>88</v>
      </c>
      <c r="E43" s="148">
        <v>-0.68</v>
      </c>
      <c r="F43" s="148">
        <v>-0.68</v>
      </c>
    </row>
    <row r="44" spans="1:6" x14ac:dyDescent="0.25">
      <c r="A44" s="97" t="s">
        <v>37</v>
      </c>
      <c r="B44" s="149"/>
      <c r="C44" s="149"/>
      <c r="D44" s="101" t="s">
        <v>89</v>
      </c>
      <c r="E44" s="148">
        <v>0</v>
      </c>
      <c r="F44" s="148">
        <v>0</v>
      </c>
    </row>
    <row r="45" spans="1:6" x14ac:dyDescent="0.25">
      <c r="A45" s="97" t="s">
        <v>38</v>
      </c>
      <c r="B45" s="149"/>
      <c r="C45" s="149"/>
      <c r="D45" s="101" t="s">
        <v>90</v>
      </c>
      <c r="E45" s="148">
        <v>0</v>
      </c>
      <c r="F45" s="148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0">
        <f>B9+B17+B25+B31+B38+B41+B37</f>
        <v>45776433.289999999</v>
      </c>
      <c r="C47" s="150">
        <f>C9+C17+C25+C31+C38+C41+C37</f>
        <v>43224176.320000008</v>
      </c>
      <c r="D47" s="99" t="s">
        <v>91</v>
      </c>
      <c r="E47" s="61">
        <f>E9+E19+E23+E26+E27+E31+E38+E42</f>
        <v>-664209.84999999986</v>
      </c>
      <c r="F47" s="61">
        <f>F9+F19+F23+F26+F27+F31+F38+F42</f>
        <v>1571624.8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208">
        <v>0</v>
      </c>
      <c r="C50" s="208">
        <v>0</v>
      </c>
      <c r="D50" s="100" t="s">
        <v>93</v>
      </c>
      <c r="E50" s="148">
        <v>0</v>
      </c>
      <c r="F50" s="148">
        <v>0</v>
      </c>
    </row>
    <row r="51" spans="1:6" x14ac:dyDescent="0.25">
      <c r="A51" s="95" t="s">
        <v>42</v>
      </c>
      <c r="B51" s="208">
        <v>0</v>
      </c>
      <c r="C51" s="208">
        <v>0</v>
      </c>
      <c r="D51" s="100" t="s">
        <v>94</v>
      </c>
      <c r="E51" s="148">
        <v>0</v>
      </c>
      <c r="F51" s="148">
        <v>0</v>
      </c>
    </row>
    <row r="52" spans="1:6" x14ac:dyDescent="0.25">
      <c r="A52" s="95" t="s">
        <v>43</v>
      </c>
      <c r="B52" s="208">
        <v>112626677.47</v>
      </c>
      <c r="C52" s="208">
        <v>104786840.04000001</v>
      </c>
      <c r="D52" s="100" t="s">
        <v>95</v>
      </c>
      <c r="E52" s="148">
        <v>0</v>
      </c>
      <c r="F52" s="148">
        <v>0</v>
      </c>
    </row>
    <row r="53" spans="1:6" x14ac:dyDescent="0.25">
      <c r="A53" s="95" t="s">
        <v>44</v>
      </c>
      <c r="B53" s="208">
        <v>15272377.050000001</v>
      </c>
      <c r="C53" s="208">
        <v>15089036.33</v>
      </c>
      <c r="D53" s="100" t="s">
        <v>96</v>
      </c>
      <c r="E53" s="148">
        <v>0</v>
      </c>
      <c r="F53" s="148">
        <v>0</v>
      </c>
    </row>
    <row r="54" spans="1:6" x14ac:dyDescent="0.25">
      <c r="A54" s="95" t="s">
        <v>45</v>
      </c>
      <c r="B54" s="208">
        <v>8308371.4500000002</v>
      </c>
      <c r="C54" s="208">
        <v>6757087.3600000003</v>
      </c>
      <c r="D54" s="100" t="s">
        <v>97</v>
      </c>
      <c r="E54" s="148">
        <v>0</v>
      </c>
      <c r="F54" s="148">
        <v>0</v>
      </c>
    </row>
    <row r="55" spans="1:6" x14ac:dyDescent="0.25">
      <c r="A55" s="95" t="s">
        <v>46</v>
      </c>
      <c r="B55" s="208">
        <v>-42978003.340000004</v>
      </c>
      <c r="C55" s="208">
        <v>-42995089.899999999</v>
      </c>
      <c r="D55" s="37" t="s">
        <v>98</v>
      </c>
      <c r="E55" s="148">
        <v>0</v>
      </c>
      <c r="F55" s="148">
        <v>0</v>
      </c>
    </row>
    <row r="56" spans="1:6" x14ac:dyDescent="0.25">
      <c r="A56" s="95" t="s">
        <v>47</v>
      </c>
      <c r="B56" s="208">
        <v>2978562.59</v>
      </c>
      <c r="C56" s="208">
        <v>1877447.14</v>
      </c>
      <c r="D56" s="54"/>
      <c r="E56" s="54"/>
      <c r="F56" s="54"/>
    </row>
    <row r="57" spans="1:6" x14ac:dyDescent="0.25">
      <c r="A57" s="95" t="s">
        <v>48</v>
      </c>
      <c r="B57" s="208">
        <v>0</v>
      </c>
      <c r="C57" s="208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208">
        <v>0</v>
      </c>
      <c r="C58" s="208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-664209.84999999986</v>
      </c>
      <c r="F59" s="61">
        <f>F47+F57</f>
        <v>1571624.8</v>
      </c>
    </row>
    <row r="60" spans="1:6" x14ac:dyDescent="0.25">
      <c r="A60" s="55" t="s">
        <v>50</v>
      </c>
      <c r="B60" s="61">
        <f>SUM(B50:B58)</f>
        <v>96207985.219999999</v>
      </c>
      <c r="C60" s="61">
        <f>SUM(C50:C58)</f>
        <v>85515320.970000014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141984418.50999999</v>
      </c>
      <c r="C62" s="61">
        <f>SUM(C47+C60)</f>
        <v>128739497.29000002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68128146.060000002</v>
      </c>
      <c r="F63" s="77">
        <f>SUM(F64:F66)</f>
        <v>64410036.119999997</v>
      </c>
    </row>
    <row r="64" spans="1:6" x14ac:dyDescent="0.25">
      <c r="A64" s="54"/>
      <c r="B64" s="54"/>
      <c r="C64" s="54"/>
      <c r="D64" s="103" t="s">
        <v>103</v>
      </c>
      <c r="E64" s="208">
        <v>68128146.060000002</v>
      </c>
      <c r="F64" s="208">
        <v>64410036.119999997</v>
      </c>
    </row>
    <row r="65" spans="1:6" x14ac:dyDescent="0.25">
      <c r="A65" s="54"/>
      <c r="B65" s="54"/>
      <c r="C65" s="54"/>
      <c r="D65" s="41" t="s">
        <v>104</v>
      </c>
      <c r="E65" s="208">
        <v>0</v>
      </c>
      <c r="F65" s="208">
        <v>0</v>
      </c>
    </row>
    <row r="66" spans="1:6" x14ac:dyDescent="0.25">
      <c r="A66" s="54"/>
      <c r="B66" s="54"/>
      <c r="C66" s="54"/>
      <c r="D66" s="103" t="s">
        <v>105</v>
      </c>
      <c r="E66" s="208">
        <v>0</v>
      </c>
      <c r="F66" s="208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74520482.299999997</v>
      </c>
      <c r="F68" s="77">
        <f>SUM(F69:F73)</f>
        <v>62757836.370000005</v>
      </c>
    </row>
    <row r="69" spans="1:6" x14ac:dyDescent="0.25">
      <c r="A69" s="12"/>
      <c r="B69" s="54"/>
      <c r="C69" s="54"/>
      <c r="D69" s="103" t="s">
        <v>107</v>
      </c>
      <c r="E69" s="208">
        <v>12877313.449999999</v>
      </c>
      <c r="F69" s="208">
        <v>17459211.690000001</v>
      </c>
    </row>
    <row r="70" spans="1:6" x14ac:dyDescent="0.25">
      <c r="A70" s="12"/>
      <c r="B70" s="54"/>
      <c r="C70" s="54"/>
      <c r="D70" s="103" t="s">
        <v>108</v>
      </c>
      <c r="E70" s="208">
        <v>61643168.850000001</v>
      </c>
      <c r="F70" s="208">
        <v>45298624.68</v>
      </c>
    </row>
    <row r="71" spans="1:6" x14ac:dyDescent="0.25">
      <c r="A71" s="12"/>
      <c r="B71" s="54"/>
      <c r="C71" s="54"/>
      <c r="D71" s="103" t="s">
        <v>109</v>
      </c>
      <c r="E71" s="208">
        <v>0</v>
      </c>
      <c r="F71" s="208">
        <v>0</v>
      </c>
    </row>
    <row r="72" spans="1:6" x14ac:dyDescent="0.25">
      <c r="A72" s="12"/>
      <c r="B72" s="54"/>
      <c r="C72" s="54"/>
      <c r="D72" s="103" t="s">
        <v>110</v>
      </c>
      <c r="E72" s="208">
        <v>0</v>
      </c>
      <c r="F72" s="208">
        <v>0</v>
      </c>
    </row>
    <row r="73" spans="1:6" x14ac:dyDescent="0.25">
      <c r="A73" s="12"/>
      <c r="B73" s="54"/>
      <c r="C73" s="54"/>
      <c r="D73" s="103" t="s">
        <v>111</v>
      </c>
      <c r="E73" s="208">
        <v>0</v>
      </c>
      <c r="F73" s="20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148">
        <v>0</v>
      </c>
      <c r="F76" s="148">
        <v>0</v>
      </c>
    </row>
    <row r="77" spans="1:6" x14ac:dyDescent="0.25">
      <c r="A77" s="12"/>
      <c r="B77" s="54"/>
      <c r="C77" s="54"/>
      <c r="D77" s="100" t="s">
        <v>114</v>
      </c>
      <c r="E77" s="148">
        <v>0</v>
      </c>
      <c r="F77" s="148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142648628.36000001</v>
      </c>
      <c r="F79" s="61">
        <f>F63+F68+F75</f>
        <v>127167872.49000001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141984418.51000002</v>
      </c>
      <c r="F81" s="61">
        <f>F59+F79</f>
        <v>128739497.29000001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39987978.82</v>
      </c>
      <c r="Q4" s="18">
        <f>'Formato 1'!C9</f>
        <v>37657852.300000004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32402072.09</v>
      </c>
      <c r="Q7" s="18">
        <f>'Formato 1'!C12</f>
        <v>30347958.050000001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6033987.1399999997</v>
      </c>
      <c r="Q8" s="18">
        <f>'Formato 1'!C13</f>
        <v>5827732.1799999997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1345838.99</v>
      </c>
      <c r="Q9" s="18">
        <f>'Formato 1'!C14</f>
        <v>1276081.47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206080.6</v>
      </c>
      <c r="Q10" s="18">
        <f>'Formato 1'!C15</f>
        <v>206080.6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4374176.2100000009</v>
      </c>
      <c r="Q12" s="18">
        <f>'Formato 1'!C17</f>
        <v>4523318.12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4344698.8600000003</v>
      </c>
      <c r="Q14" s="18">
        <f>'Formato 1'!C19</f>
        <v>4516318.8499999996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991.08</v>
      </c>
      <c r="Q15" s="18">
        <f>'Formato 1'!C20</f>
        <v>-10000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-0.68</v>
      </c>
      <c r="Q16" s="18">
        <f>'Formato 1'!C21</f>
        <v>-0.68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27000</v>
      </c>
      <c r="Q17" s="18">
        <f>'Formato 1'!C22</f>
        <v>17000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1486.95</v>
      </c>
      <c r="Q19" s="18">
        <f>'Formato 1'!C24</f>
        <v>-0.05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444882.08</v>
      </c>
      <c r="Q20" s="18">
        <f>'Formato 1'!C25</f>
        <v>85338.09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6867.22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202695.92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235318.94</v>
      </c>
      <c r="Q24" s="18">
        <f>'Formato 1'!C29</f>
        <v>85338.09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969396.18</v>
      </c>
      <c r="Q32" s="18">
        <f>'Formato 1'!C37</f>
        <v>957667.81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969396.18</v>
      </c>
      <c r="Q33" s="18">
        <f>'Formato 1'!C37</f>
        <v>957667.81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45776433.289999999</v>
      </c>
      <c r="Q42" s="18">
        <f>'Formato 1'!C47</f>
        <v>43224176.320000008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112626677.47</v>
      </c>
      <c r="Q46">
        <f>'Formato 1'!C52</f>
        <v>104786840.04000001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15272377.050000001</v>
      </c>
      <c r="Q47">
        <f>'Formato 1'!C53</f>
        <v>15089036.33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8308371.4500000002</v>
      </c>
      <c r="Q48">
        <f>'Formato 1'!C54</f>
        <v>6757087.3600000003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-42978003.340000004</v>
      </c>
      <c r="Q49">
        <f>'Formato 1'!C55</f>
        <v>-42995089.899999999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2978562.59</v>
      </c>
      <c r="Q50">
        <f>'Formato 1'!C56</f>
        <v>1877447.14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96207985.219999999</v>
      </c>
      <c r="Q53">
        <f>'Formato 1'!C60</f>
        <v>85515320.970000014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141984418.50999999</v>
      </c>
      <c r="Q54">
        <f>'Formato 1'!C62</f>
        <v>128739497.29000002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-870289.76999999979</v>
      </c>
      <c r="Q57">
        <f>'Formato 1'!F9</f>
        <v>1365544.88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2246.9499999999998</v>
      </c>
      <c r="Q58">
        <f>'Formato 1'!F10</f>
        <v>459890.55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15206.07</v>
      </c>
      <c r="Q59">
        <f>'Formato 1'!F11</f>
        <v>447243.59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-1316081.77</v>
      </c>
      <c r="Q60">
        <f>'Formato 1'!F12</f>
        <v>-322669.90000000002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152587.39000000001</v>
      </c>
      <c r="Q64">
        <f>'Formato 1'!F16</f>
        <v>123860.31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275751.59000000003</v>
      </c>
      <c r="Q66">
        <f>'Formato 1'!F18</f>
        <v>657220.32999999996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206080.6</v>
      </c>
      <c r="Q80">
        <f>'Formato 1'!F31</f>
        <v>206080.6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206080.6</v>
      </c>
      <c r="Q81">
        <f>'Formato 1'!F32</f>
        <v>206080.6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-0.68</v>
      </c>
      <c r="Q91">
        <f>'Formato 1'!F42</f>
        <v>-0.68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-0.68</v>
      </c>
      <c r="Q92">
        <f>'Formato 1'!F43</f>
        <v>-0.68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-664209.84999999986</v>
      </c>
      <c r="Q95">
        <f>'Formato 1'!F47</f>
        <v>1571624.8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-664209.84999999986</v>
      </c>
      <c r="Q104">
        <f>'Formato 1'!F59</f>
        <v>1571624.8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68128146.060000002</v>
      </c>
      <c r="Q106">
        <f>'Formato 1'!F63</f>
        <v>64410036.119999997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68128146.060000002</v>
      </c>
      <c r="Q107">
        <f>'Formato 1'!F64</f>
        <v>64410036.119999997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74520482.299999997</v>
      </c>
      <c r="Q110">
        <f>'Formato 1'!F68</f>
        <v>62757836.370000005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12877313.449999999</v>
      </c>
      <c r="Q111">
        <f>'Formato 1'!F69</f>
        <v>17459211.690000001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61643168.850000001</v>
      </c>
      <c r="Q112">
        <f>'Formato 1'!F70</f>
        <v>45298624.68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142648628.36000001</v>
      </c>
      <c r="Q119">
        <f>'Formato 1'!F79</f>
        <v>127167872.49000001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141984418.51000002</v>
      </c>
      <c r="Q120">
        <f>'Formato 1'!F81</f>
        <v>128739497.29000001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13" zoomScale="90" zoomScaleNormal="90" workbookViewId="0">
      <selection activeCell="A43" sqref="A43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83" t="s">
        <v>544</v>
      </c>
      <c r="B1" s="183"/>
      <c r="C1" s="183"/>
      <c r="D1" s="183"/>
      <c r="E1" s="183"/>
      <c r="F1" s="183"/>
      <c r="G1" s="183"/>
      <c r="H1" s="183"/>
    </row>
    <row r="2" spans="1:9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0"/>
      <c r="H2" s="171"/>
    </row>
    <row r="3" spans="1:9" x14ac:dyDescent="0.25">
      <c r="A3" s="172" t="s">
        <v>120</v>
      </c>
      <c r="B3" s="173"/>
      <c r="C3" s="173"/>
      <c r="D3" s="173"/>
      <c r="E3" s="173"/>
      <c r="F3" s="173"/>
      <c r="G3" s="173"/>
      <c r="H3" s="174"/>
    </row>
    <row r="4" spans="1:9" ht="14.25" x14ac:dyDescent="0.45">
      <c r="A4" s="175" t="str">
        <f>PERIODO_INFORME</f>
        <v>Al 31 de diciembre de 2018 y al 30 de septiembre de 2019 (b)</v>
      </c>
      <c r="B4" s="176"/>
      <c r="C4" s="176"/>
      <c r="D4" s="176"/>
      <c r="E4" s="176"/>
      <c r="F4" s="176"/>
      <c r="G4" s="176"/>
      <c r="H4" s="177"/>
    </row>
    <row r="5" spans="1:9" ht="14.25" x14ac:dyDescent="0.45">
      <c r="A5" s="178" t="s">
        <v>118</v>
      </c>
      <c r="B5" s="179"/>
      <c r="C5" s="179"/>
      <c r="D5" s="179"/>
      <c r="E5" s="179"/>
      <c r="F5" s="179"/>
      <c r="G5" s="179"/>
      <c r="H5" s="180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1"/>
      <c r="D18" s="131"/>
      <c r="E18" s="131"/>
      <c r="F18" s="61">
        <v>1</v>
      </c>
      <c r="G18" s="131"/>
      <c r="H18" s="131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ht="14.25" x14ac:dyDescent="0.4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2" t="s">
        <v>3300</v>
      </c>
      <c r="B33" s="182"/>
      <c r="C33" s="182"/>
      <c r="D33" s="182"/>
      <c r="E33" s="182"/>
      <c r="F33" s="182"/>
      <c r="G33" s="182"/>
      <c r="H33" s="182"/>
    </row>
    <row r="34" spans="1:8" ht="12" customHeight="1" x14ac:dyDescent="0.25">
      <c r="A34" s="182"/>
      <c r="B34" s="182"/>
      <c r="C34" s="182"/>
      <c r="D34" s="182"/>
      <c r="E34" s="182"/>
      <c r="F34" s="182"/>
      <c r="G34" s="182"/>
      <c r="H34" s="182"/>
    </row>
    <row r="35" spans="1:8" ht="12" customHeight="1" x14ac:dyDescent="0.25">
      <c r="A35" s="182"/>
      <c r="B35" s="182"/>
      <c r="C35" s="182"/>
      <c r="D35" s="182"/>
      <c r="E35" s="182"/>
      <c r="F35" s="182"/>
      <c r="G35" s="182"/>
      <c r="H35" s="182"/>
    </row>
    <row r="36" spans="1:8" ht="12" customHeight="1" x14ac:dyDescent="0.25">
      <c r="A36" s="182"/>
      <c r="B36" s="182"/>
      <c r="C36" s="182"/>
      <c r="D36" s="182"/>
      <c r="E36" s="182"/>
      <c r="F36" s="182"/>
      <c r="G36" s="182"/>
      <c r="H36" s="182"/>
    </row>
    <row r="37" spans="1:8" ht="12" customHeight="1" x14ac:dyDescent="0.25">
      <c r="A37" s="182"/>
      <c r="B37" s="182"/>
      <c r="C37" s="182"/>
      <c r="D37" s="182"/>
      <c r="E37" s="182"/>
      <c r="F37" s="182"/>
      <c r="G37" s="182"/>
      <c r="H37" s="182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1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topLeftCell="B1" zoomScale="90" zoomScaleNormal="90" workbookViewId="0">
      <selection activeCell="A2" sqref="A2:K2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1" t="s">
        <v>543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11"/>
    </row>
    <row r="2" spans="1:12" ht="14.25" x14ac:dyDescent="0.45">
      <c r="A2" s="169" t="str">
        <f>ENTE_PUBLICO_A</f>
        <v>JUNTA MUNICIPAL DE AGUA POTABLE Y ALCANTARILLADO DE CORTAZAR, GTO., Gobierno del Estado de Guanajuato (a)</v>
      </c>
      <c r="B2" s="170"/>
      <c r="C2" s="170"/>
      <c r="D2" s="170"/>
      <c r="E2" s="170"/>
      <c r="F2" s="170"/>
      <c r="G2" s="170"/>
      <c r="H2" s="170"/>
      <c r="I2" s="170"/>
      <c r="J2" s="170"/>
      <c r="K2" s="171"/>
    </row>
    <row r="3" spans="1:12" x14ac:dyDescent="0.25">
      <c r="A3" s="172" t="s">
        <v>146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</row>
    <row r="4" spans="1:12" ht="14.25" x14ac:dyDescent="0.45">
      <c r="A4" s="175" t="str">
        <f>TRIMESTRE</f>
        <v>Del 1 de enero al 30 de septiembre de 2019 (b)</v>
      </c>
      <c r="B4" s="176"/>
      <c r="C4" s="176"/>
      <c r="D4" s="176"/>
      <c r="E4" s="176"/>
      <c r="F4" s="176"/>
      <c r="G4" s="176"/>
      <c r="H4" s="176"/>
      <c r="I4" s="176"/>
      <c r="J4" s="176"/>
      <c r="K4" s="177"/>
    </row>
    <row r="5" spans="1:12" ht="14.25" x14ac:dyDescent="0.45">
      <c r="A5" s="172" t="s">
        <v>118</v>
      </c>
      <c r="B5" s="173"/>
      <c r="C5" s="173"/>
      <c r="D5" s="173"/>
      <c r="E5" s="173"/>
      <c r="F5" s="173"/>
      <c r="G5" s="173"/>
      <c r="H5" s="173"/>
      <c r="I5" s="173"/>
      <c r="J5" s="173"/>
      <c r="K5" s="174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septiembre de 2019 (k)</v>
      </c>
      <c r="J6" s="130" t="str">
        <f>MONTO2</f>
        <v>Monto pagado de la inversión actualizado al 30 de septiembre de 2019 (l)</v>
      </c>
      <c r="K6" s="130" t="str">
        <f>SALDO_PENDIENTE</f>
        <v>Saldo pendiente por pagar de la inversión al 30 de septiembre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CONTABILIDAD</cp:lastModifiedBy>
  <cp:lastPrinted>2017-02-04T00:56:20Z</cp:lastPrinted>
  <dcterms:created xsi:type="dcterms:W3CDTF">2017-01-19T17:59:06Z</dcterms:created>
  <dcterms:modified xsi:type="dcterms:W3CDTF">2019-10-24T19:20:50Z</dcterms:modified>
</cp:coreProperties>
</file>